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2_06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2)" sheetId="10" state="hidden" r:id="rId2"/>
    <sheet name="Budget vs Actual (2022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0" l="1"/>
  <c r="P19" i="10"/>
  <c r="P18" i="10"/>
  <c r="P17" i="10"/>
  <c r="P16" i="10"/>
  <c r="P14" i="10"/>
  <c r="P13" i="10"/>
  <c r="O12" i="10"/>
  <c r="P11" i="10"/>
  <c r="P10" i="10"/>
  <c r="P9" i="10"/>
  <c r="O19" i="10" l="1"/>
  <c r="O18" i="10"/>
  <c r="O16" i="10"/>
  <c r="O14" i="10"/>
  <c r="O13" i="10"/>
  <c r="O11" i="10"/>
  <c r="O9" i="10"/>
  <c r="O10" i="10"/>
  <c r="G18" i="4" l="1"/>
  <c r="G17" i="4"/>
  <c r="G16" i="4"/>
  <c r="G15" i="4"/>
  <c r="G14" i="4"/>
  <c r="G13" i="4"/>
  <c r="C28" i="1" l="1"/>
  <c r="D28" i="1"/>
  <c r="E28" i="1"/>
  <c r="F28" i="1"/>
  <c r="B28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 l="1"/>
  <c r="N19" i="10"/>
  <c r="N18" i="10"/>
  <c r="N17" i="10"/>
  <c r="N14" i="10"/>
  <c r="N13" i="10"/>
  <c r="N11" i="10"/>
  <c r="N9" i="10"/>
  <c r="T21" i="10"/>
  <c r="U24" i="10"/>
  <c r="S24" i="10"/>
  <c r="M19" i="10" l="1"/>
  <c r="M17" i="10"/>
  <c r="M16" i="10"/>
  <c r="M14" i="10"/>
  <c r="M13" i="10"/>
  <c r="M11" i="10"/>
  <c r="M9" i="10"/>
  <c r="L19" i="10" l="1"/>
  <c r="L18" i="10"/>
  <c r="L17" i="10"/>
  <c r="L16" i="10"/>
  <c r="L14" i="10"/>
  <c r="L13" i="10"/>
  <c r="L11" i="10"/>
  <c r="L10" i="10"/>
  <c r="L9" i="10"/>
  <c r="K19" i="10"/>
  <c r="K18" i="10"/>
  <c r="K17" i="10"/>
  <c r="K16" i="10"/>
  <c r="K15" i="10"/>
  <c r="K14" i="10"/>
  <c r="K13" i="10"/>
  <c r="K11" i="10"/>
  <c r="K9" i="10"/>
  <c r="C12" i="4"/>
  <c r="D12" i="4"/>
  <c r="E12" i="4"/>
  <c r="F12" i="4"/>
  <c r="B12" i="4"/>
  <c r="H14" i="4"/>
  <c r="I14" i="4" s="1"/>
  <c r="J19" i="10"/>
  <c r="J18" i="10"/>
  <c r="J17" i="10"/>
  <c r="J10" i="10"/>
  <c r="J13" i="10"/>
  <c r="J11" i="10"/>
  <c r="J9" i="10"/>
  <c r="I19" i="10"/>
  <c r="I18" i="10"/>
  <c r="I17" i="10"/>
  <c r="I16" i="10"/>
  <c r="E16" i="10" s="1"/>
  <c r="T16" i="10" s="1"/>
  <c r="I13" i="10"/>
  <c r="E13" i="10" s="1"/>
  <c r="T13" i="10" s="1"/>
  <c r="I11" i="10"/>
  <c r="I10" i="10"/>
  <c r="I9" i="10"/>
  <c r="I11" i="3"/>
  <c r="G11" i="3"/>
  <c r="H11" i="3" s="1"/>
  <c r="G9" i="3"/>
  <c r="H9" i="3" s="1"/>
  <c r="I9" i="3" s="1"/>
  <c r="I8" i="3"/>
  <c r="G8" i="3"/>
  <c r="H8" i="3" s="1"/>
  <c r="G12" i="3"/>
  <c r="H12" i="3" s="1"/>
  <c r="I12" i="3" s="1"/>
  <c r="B46" i="10"/>
  <c r="G19" i="10"/>
  <c r="E19" i="10" s="1"/>
  <c r="T19" i="10" s="1"/>
  <c r="G17" i="10"/>
  <c r="G13" i="10"/>
  <c r="G11" i="10"/>
  <c r="G9" i="10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6" i="1"/>
  <c r="I26" i="1" s="1"/>
  <c r="H27" i="1"/>
  <c r="I27" i="1" s="1"/>
  <c r="H24" i="1"/>
  <c r="I24" i="1" s="1"/>
  <c r="H23" i="1"/>
  <c r="I23" i="1" s="1"/>
  <c r="B12" i="1"/>
  <c r="C12" i="1"/>
  <c r="D12" i="1"/>
  <c r="E12" i="1"/>
  <c r="F12" i="1"/>
  <c r="B64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E47" i="10" s="1"/>
  <c r="C46" i="10"/>
  <c r="P45" i="10"/>
  <c r="O45" i="10"/>
  <c r="N45" i="10"/>
  <c r="N47" i="10" s="1"/>
  <c r="M45" i="10"/>
  <c r="L45" i="10"/>
  <c r="K45" i="10"/>
  <c r="J45" i="10"/>
  <c r="I45" i="10"/>
  <c r="H45" i="10"/>
  <c r="G45" i="10"/>
  <c r="F45" i="10"/>
  <c r="E45" i="10"/>
  <c r="E50" i="10" s="1"/>
  <c r="B45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B43" i="10"/>
  <c r="C42" i="10"/>
  <c r="C41" i="10"/>
  <c r="C40" i="10"/>
  <c r="C39" i="10"/>
  <c r="Q24" i="10"/>
  <c r="P24" i="10"/>
  <c r="O24" i="10"/>
  <c r="N24" i="10"/>
  <c r="M24" i="10"/>
  <c r="H24" i="10"/>
  <c r="F24" i="10"/>
  <c r="E23" i="10"/>
  <c r="T23" i="10" s="1"/>
  <c r="E22" i="10"/>
  <c r="T22" i="10" s="1"/>
  <c r="E20" i="10"/>
  <c r="T20" i="10" s="1"/>
  <c r="E15" i="10"/>
  <c r="T15" i="10" s="1"/>
  <c r="E14" i="10"/>
  <c r="T14" i="10" s="1"/>
  <c r="E12" i="10"/>
  <c r="T12" i="10" s="1"/>
  <c r="E10" i="10"/>
  <c r="T10" i="10" s="1"/>
  <c r="G22" i="5"/>
  <c r="G23" i="4"/>
  <c r="G17" i="3"/>
  <c r="G36" i="2"/>
  <c r="G32" i="1"/>
  <c r="C18" i="5"/>
  <c r="D18" i="5"/>
  <c r="E18" i="5"/>
  <c r="F18" i="5"/>
  <c r="B18" i="5"/>
  <c r="B19" i="4"/>
  <c r="C19" i="4"/>
  <c r="D19" i="4"/>
  <c r="E19" i="4"/>
  <c r="F19" i="4"/>
  <c r="G29" i="2"/>
  <c r="H29" i="2" s="1"/>
  <c r="I29" i="2" s="1"/>
  <c r="H15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H17" i="4"/>
  <c r="I17" i="4" s="1"/>
  <c r="H18" i="4"/>
  <c r="I18" i="4"/>
  <c r="H16" i="4"/>
  <c r="I16" i="4" s="1"/>
  <c r="H13" i="4"/>
  <c r="I13" i="4" s="1"/>
  <c r="G11" i="4"/>
  <c r="H11" i="4" s="1"/>
  <c r="I11" i="4"/>
  <c r="G10" i="4"/>
  <c r="H10" i="4" s="1"/>
  <c r="G9" i="4"/>
  <c r="H9" i="4" s="1"/>
  <c r="I9" i="4" s="1"/>
  <c r="G8" i="4"/>
  <c r="H8" i="4" s="1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H12" i="2" s="1"/>
  <c r="I12" i="2" s="1"/>
  <c r="G11" i="2"/>
  <c r="H11" i="2" s="1"/>
  <c r="I11" i="2" s="1"/>
  <c r="G10" i="2"/>
  <c r="H10" i="2" s="1"/>
  <c r="I10" i="2" s="1"/>
  <c r="G9" i="2"/>
  <c r="H9" i="2" s="1"/>
  <c r="I9" i="2" s="1"/>
  <c r="G8" i="2"/>
  <c r="E11" i="10" l="1"/>
  <c r="T11" i="10" s="1"/>
  <c r="J24" i="10"/>
  <c r="O47" i="10"/>
  <c r="G47" i="10"/>
  <c r="B47" i="10"/>
  <c r="I47" i="10"/>
  <c r="E18" i="10"/>
  <c r="T18" i="10" s="1"/>
  <c r="H47" i="10"/>
  <c r="L47" i="10"/>
  <c r="J47" i="10"/>
  <c r="M47" i="10"/>
  <c r="F47" i="10"/>
  <c r="E51" i="10"/>
  <c r="F51" i="10" s="1"/>
  <c r="G51" i="10" s="1"/>
  <c r="H51" i="10" s="1"/>
  <c r="I51" i="10" s="1"/>
  <c r="J51" i="10" s="1"/>
  <c r="K51" i="10" s="1"/>
  <c r="L51" i="10" s="1"/>
  <c r="M51" i="10" s="1"/>
  <c r="N51" i="10" s="1"/>
  <c r="O51" i="10" s="1"/>
  <c r="P51" i="10" s="1"/>
  <c r="B20" i="5"/>
  <c r="K47" i="10"/>
  <c r="E9" i="10"/>
  <c r="L24" i="10"/>
  <c r="P47" i="10"/>
  <c r="E17" i="10"/>
  <c r="T17" i="10" s="1"/>
  <c r="E30" i="1"/>
  <c r="E33" i="1" s="1"/>
  <c r="G10" i="3"/>
  <c r="H10" i="3" s="1"/>
  <c r="E20" i="5"/>
  <c r="E23" i="5" s="1"/>
  <c r="D39" i="10"/>
  <c r="T39" i="10"/>
  <c r="D40" i="10"/>
  <c r="T40" i="10"/>
  <c r="D41" i="10"/>
  <c r="T41" i="10"/>
  <c r="D42" i="10"/>
  <c r="T42" i="10"/>
  <c r="D46" i="10"/>
  <c r="B55" i="10" s="1"/>
  <c r="D20" i="5"/>
  <c r="C20" i="5"/>
  <c r="C21" i="4"/>
  <c r="D34" i="2"/>
  <c r="C34" i="2"/>
  <c r="B30" i="1"/>
  <c r="E15" i="3"/>
  <c r="E18" i="3" s="1"/>
  <c r="D15" i="3"/>
  <c r="B34" i="2"/>
  <c r="D30" i="1"/>
  <c r="C30" i="1"/>
  <c r="G12" i="1"/>
  <c r="G13" i="5"/>
  <c r="B21" i="4"/>
  <c r="H18" i="5"/>
  <c r="I18" i="5" s="1"/>
  <c r="G18" i="5"/>
  <c r="G12" i="4"/>
  <c r="E21" i="4"/>
  <c r="E24" i="4" s="1"/>
  <c r="D21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8" i="1"/>
  <c r="I28" i="1" s="1"/>
  <c r="I15" i="4"/>
  <c r="H19" i="4"/>
  <c r="I19" i="4" s="1"/>
  <c r="C45" i="10"/>
  <c r="F50" i="10"/>
  <c r="G19" i="4"/>
  <c r="G24" i="10"/>
  <c r="C43" i="10"/>
  <c r="D43" i="10" s="1"/>
  <c r="H8" i="2"/>
  <c r="I24" i="10"/>
  <c r="K24" i="10"/>
  <c r="E52" i="10" l="1"/>
  <c r="C47" i="10"/>
  <c r="D47" i="10" s="1"/>
  <c r="B56" i="10" s="1"/>
  <c r="E24" i="10"/>
  <c r="T9" i="10"/>
  <c r="T24" i="10" s="1"/>
  <c r="C6" i="10"/>
  <c r="B16" i="10" s="1"/>
  <c r="C16" i="10" s="1"/>
  <c r="G30" i="1"/>
  <c r="G33" i="1" s="1"/>
  <c r="G34" i="2"/>
  <c r="G37" i="2" s="1"/>
  <c r="G20" i="5"/>
  <c r="G23" i="5" s="1"/>
  <c r="G15" i="3"/>
  <c r="G18" i="3" s="1"/>
  <c r="H12" i="1"/>
  <c r="I12" i="1" s="1"/>
  <c r="I11" i="1"/>
  <c r="G21" i="4"/>
  <c r="G24" i="4" s="1"/>
  <c r="H13" i="2"/>
  <c r="I8" i="2"/>
  <c r="H20" i="5"/>
  <c r="I13" i="5"/>
  <c r="G50" i="10"/>
  <c r="F52" i="10"/>
  <c r="D45" i="10"/>
  <c r="I12" i="4"/>
  <c r="H21" i="4"/>
  <c r="I10" i="3"/>
  <c r="H15" i="3"/>
  <c r="B28" i="10" l="1"/>
  <c r="B15" i="10"/>
  <c r="C15" i="10" s="1"/>
  <c r="B54" i="10"/>
  <c r="I13" i="2"/>
  <c r="H34" i="2"/>
  <c r="G52" i="10"/>
  <c r="H50" i="10"/>
  <c r="H52" i="10" l="1"/>
  <c r="I50" i="10"/>
  <c r="I52" i="10" l="1"/>
  <c r="J50" i="10"/>
  <c r="K50" i="10" l="1"/>
  <c r="J52" i="10"/>
  <c r="K52" i="10" l="1"/>
  <c r="L50" i="10"/>
  <c r="M50" i="10" l="1"/>
  <c r="L52" i="10"/>
  <c r="M52" i="10" l="1"/>
  <c r="N50" i="10"/>
  <c r="O50" i="10" l="1"/>
  <c r="N52" i="10"/>
  <c r="O52" i="10" l="1"/>
  <c r="P50" i="10"/>
  <c r="P52" i="10" s="1"/>
</calcChain>
</file>

<file path=xl/sharedStrings.xml><?xml version="1.0" encoding="utf-8"?>
<sst xmlns="http://schemas.openxmlformats.org/spreadsheetml/2006/main" count="260" uniqueCount="82">
  <si>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</si>
  <si>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</si>
  <si>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</si>
  <si>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</si>
  <si>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</si>
  <si>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</si>
  <si>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</si>
  <si>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</si>
  <si>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</si>
  <si>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</si>
  <si>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</si>
  <si>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</si>
  <si>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</si>
  <si>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</si>
  <si>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</si>
  <si>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</si>
  <si>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</si>
  <si>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</si>
  <si>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</si>
  <si>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</si>
  <si>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</si>
  <si>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MAINTENANCE AND OPERATION OF PLANT SERVICES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</si>
  <si>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</si>
  <si>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</si>
  <si>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</si>
  <si>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</si>
  <si>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</si>
  <si>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</si>
  <si>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</si>
  <si>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</si>
  <si>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FEDERAL SOURCES</t>
  </si>
  <si>
    <t xml:space="preserve">   SCHOOL NUTRITION PROGRAM</t>
  </si>
  <si>
    <t xml:space="preserve">   FEDERAL GRANT ADMINISTRATION</t>
  </si>
  <si>
    <t xml:space="preserve">   ENTERPRISE OPERATIONS</t>
  </si>
  <si>
    <t xml:space="preserve">   FACILITIES ACQUISITION AND CONSTRUCTION SERVICES</t>
  </si>
  <si>
    <t>BEGINNING BALANCE</t>
  </si>
  <si>
    <t>% of REMAINING BUDGET</t>
  </si>
  <si>
    <t>Description</t>
  </si>
  <si>
    <t>AMENDED BUDGET</t>
  </si>
  <si>
    <t>ORIGINAL BUDGET</t>
  </si>
  <si>
    <t xml:space="preserve">   COMMUNITY SERVICES OPERATIONS</t>
  </si>
  <si>
    <t>FY2022 GENERAL FUND (ROLLUP)</t>
  </si>
  <si>
    <t>FY2022 SPECIAL REVENUE (ROLLUP)</t>
  </si>
  <si>
    <t>FY2022 DEBT SERVICE (ROLLUP)</t>
  </si>
  <si>
    <t>FY2022 CAPITAL PROJECTS (ROLLUP)</t>
  </si>
  <si>
    <t>FY2022 SCHOOL NUTRITION (ROLLUP)</t>
  </si>
  <si>
    <t>FY2022 BUDGET CHARTS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</si>
  <si>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</si>
  <si>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</si>
  <si>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</si>
  <si>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</si>
  <si>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</si>
  <si>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</si>
  <si>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</si>
  <si>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</si>
  <si>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</si>
  <si>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</si>
  <si>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</si>
  <si>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</si>
  <si>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</si>
  <si>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</si>
  <si>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</si>
  <si>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</si>
  <si>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</si>
  <si>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</si>
  <si>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</si>
  <si>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</si>
  <si>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</si>
  <si>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</si>
  <si>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</si>
  <si>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</si>
  <si>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</si>
  <si>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</si>
  <si>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</si>
  <si>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</si>
  <si>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</si>
  <si>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</si>
  <si>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</si>
  <si>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</si>
  <si>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TOTAL GENERAL OPERATIONS BUDGET
$1,198,291,400</t>
  </si>
  <si>
    <t>GENERAL OPERATIONS YTD EXPENSES
$1,139,032,582</t>
  </si>
  <si>
    <t>(LOCAL &amp; OTHER)	Budgeted: $684,519,058	Actual: $703,833,256  102.82%
(STATE)	Budgeted: $537,945,678	Actual: $527,374,640   98.03%
TOTAL Budgeted: $1,222,464,736	Actual: $1,231,207,895   100.72%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</si>
</sst>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0.0%"/>
    <numFmt numFmtId="165" formatCode="#,##0.000000_);[Red]\(#,##0.000000\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71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10" fontId="2" fillId="3" borderId="11" xfId="1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38" fontId="8" fillId="9" borderId="28" xfId="2" applyNumberFormat="1" applyFont="1" applyFill="1" applyBorder="1" applyAlignment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29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0" fontId="6" fillId="0" borderId="0" xfId="2" applyAlignment="1">
      <alignment vertical="top" wrapText="1"/>
    </xf>
    <xf numFmtId="40" fontId="6" fillId="0" borderId="0" xfId="2" applyNumberFormat="1" applyAlignment="1">
      <alignment vertical="top" wrapText="1"/>
    </xf>
    <xf numFmtId="40" fontId="6" fillId="17" borderId="0" xfId="1" applyNumberFormat="1" applyFont="1" applyFill="1" applyAlignment="1">
      <alignment vertical="top"/>
    </xf>
    <xf numFmtId="40" fontId="6" fillId="17" borderId="0" xfId="2" applyNumberFormat="1" applyFill="1">
      <alignment vertical="top"/>
    </xf>
    <xf numFmtId="165" fontId="6" fillId="0" borderId="0" xfId="2" applyNumberFormat="1">
      <alignment vertical="top"/>
    </xf>
    <xf numFmtId="165" fontId="8" fillId="2" borderId="1" xfId="2" applyNumberFormat="1" applyFont="1" applyFill="1" applyBorder="1" applyAlignment="1">
      <alignment horizontal="center" vertical="center" wrapText="1"/>
    </xf>
    <xf numFmtId="165" fontId="6" fillId="0" borderId="0" xfId="2" applyNumberFormat="1" applyFill="1">
      <alignment vertical="top"/>
    </xf>
    <xf numFmtId="165" fontId="11" fillId="0" borderId="0" xfId="2" applyNumberFormat="1" applyFont="1" applyAlignment="1">
      <alignment vertical="top"/>
    </xf>
    <xf numFmtId="165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FY2022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2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2.2100706965232711E-2"/>
                  <c:y val="-9.6786876564750792E-3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457122022234681"/>
                      <c:h val="8.0784514065502036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7.7313304743626228E-3"/>
                  <c:y val="-4.6221323885995279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7576935531002456"/>
                      <c:h val="9.573085451765638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(2022)'!$A$15:$A$16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(2022)'!$B$15:$B$16</c:f>
              <c:numCache>
                <c:formatCode>"$"#,##0_);\("$"#,##0\)</c:formatCode>
                <c:ptCount val="2"/>
                <c:pt idx="0">
                  <c:v>59258818.359998226</c:v>
                </c:pt>
                <c:pt idx="1">
                  <c:v>1139032581.8400018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871414441147381"/>
          <c:y val="0.93143596377749027"/>
          <c:w val="0.43026706231454004"/>
          <c:h val="3.62225097024579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FY2022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3392535664585551"/>
          <c:y val="0.27041085081756083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Lbls>
            <c:dLbl>
              <c:idx val="0"/>
              <c:layout>
                <c:manualLayout>
                  <c:x val="7.5380208868073936E-2"/>
                  <c:y val="-1.745232833201914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3199593531249912"/>
                      <c:h val="3.6934649741419835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8.8748555377418339E-2"/>
                  <c:y val="-0.1346900184726556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4326759806979975"/>
                  <c:y val="-9.859022911275737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024023250854928"/>
                  <c:y val="-1.45566007352044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1714713694890436"/>
                  <c:y val="4.918583343513654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8373587955467452"/>
                  <c:y val="9.433048654531724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670626051382494"/>
                      <c:h val="8.0574836467021307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0.21702835540742965"/>
                  <c:y val="8.24392790111391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1840334652250712"/>
                      <c:h val="6.3011227968859329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0.16691897213951565"/>
                  <c:y val="1.40282605718008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7.1378387129893625E-2"/>
                  <c:y val="8.6868866356444516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598160968134018"/>
                      <c:h val="6.8548866174336906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3.5132378763587359E-2"/>
                  <c:y val="4.4107370922781199E-2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1.7946858949552068E-2"/>
                  <c:y val="2.911512647660932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5.9975252491484346E-2"/>
                  <c:y val="-8.589842160563203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8813105984620526E-2"/>
                  <c:y val="-0.154665659740346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7.984941701745657E-2"/>
                  <c:y val="-1.162392782707528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6.1877496005075597E-2"/>
                  <c:y val="-0.2247385508405243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(2022)'!$D$9:$D$23</c:f>
              <c:strCache>
                <c:ptCount val="15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TRANSFERS &amp; OTHER OUTLAYS</c:v>
                </c:pt>
                <c:pt idx="14">
                  <c:v>   DEBT SERVICE</c:v>
                </c:pt>
              </c:strCache>
            </c:strRef>
          </c:cat>
          <c:val>
            <c:numRef>
              <c:f>'DATA for CHARTS (2022)'!$E$9:$E$23</c:f>
              <c:numCache>
                <c:formatCode>#,##0_);[Red]\(#,##0\)</c:formatCode>
                <c:ptCount val="15"/>
                <c:pt idx="0">
                  <c:v>738385645.43000281</c:v>
                </c:pt>
                <c:pt idx="1">
                  <c:v>66641655.029999986</c:v>
                </c:pt>
                <c:pt idx="2">
                  <c:v>12332679.210000006</c:v>
                </c:pt>
                <c:pt idx="3">
                  <c:v>38494.22</c:v>
                </c:pt>
                <c:pt idx="4">
                  <c:v>13372778.030000014</c:v>
                </c:pt>
                <c:pt idx="5">
                  <c:v>38350509.569999993</c:v>
                </c:pt>
                <c:pt idx="6">
                  <c:v>73228162.079999089</c:v>
                </c:pt>
                <c:pt idx="7">
                  <c:v>12706079.689999999</c:v>
                </c:pt>
                <c:pt idx="8">
                  <c:v>103535128.32999994</c:v>
                </c:pt>
                <c:pt idx="9">
                  <c:v>56851264.010000005</c:v>
                </c:pt>
                <c:pt idx="10">
                  <c:v>22382206.799999993</c:v>
                </c:pt>
                <c:pt idx="11">
                  <c:v>1207979.44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(2022)'!$C$28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(2022)'!$D$28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(2022)'!$E$28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(2022)'!$F$28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(2022)'!$C$28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(2022)'!$D$28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(2022)'!$E$28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(2022)'!$F$28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(2022)'!$C$28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(2022)'!$D$28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(2022)'!$E$28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(2022)'!$F$28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(2022)'!$C$28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(2022)'!$D$28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(2022)'!$E$28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(2022)'!$F$28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(2022)'!$C$28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(2022)'!$D$28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(2022)'!$E$28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(2022)'!$F$28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(2022)'!$C$28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(2022)'!$D$28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(2022)'!$E$28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(2022)'!$F$28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(2022)'!$C$28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(2022)'!$D$28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(2022)'!$E$28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(2022)'!$B$28</c:f>
              <c:strCache>
                <c:ptCount val="1"/>
                <c:pt idx="0">
                  <c:v>GENERAL OPERATIONS YTD EXPENSES
$1,139,032,582</c:v>
                </c:pt>
              </c:strCache>
            </c:strRef>
          </c:cat>
          <c:val>
            <c:numRef>
              <c:f>'DATA for CHARTS (2022)'!$F$28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FY2022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(2022)'!$D$9:$D$23</c:f>
              <c:strCache>
                <c:ptCount val="15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TRANSFERS &amp; OTHER OUTLAYS</c:v>
                </c:pt>
                <c:pt idx="14">
                  <c:v>   DEBT SERVICE</c:v>
                </c:pt>
              </c:strCache>
            </c:strRef>
          </c:cat>
          <c:val>
            <c:numRef>
              <c:f>'DATA for CHARTS (2022)'!$E$9:$E$23</c:f>
              <c:numCache>
                <c:formatCode>#,##0_);[Red]\(#,##0\)</c:formatCode>
                <c:ptCount val="15"/>
                <c:pt idx="0">
                  <c:v>738385645.43000281</c:v>
                </c:pt>
                <c:pt idx="1">
                  <c:v>66641655.029999986</c:v>
                </c:pt>
                <c:pt idx="2">
                  <c:v>12332679.210000006</c:v>
                </c:pt>
                <c:pt idx="3">
                  <c:v>38494.22</c:v>
                </c:pt>
                <c:pt idx="4">
                  <c:v>13372778.030000014</c:v>
                </c:pt>
                <c:pt idx="5">
                  <c:v>38350509.569999993</c:v>
                </c:pt>
                <c:pt idx="6">
                  <c:v>73228162.079999089</c:v>
                </c:pt>
                <c:pt idx="7">
                  <c:v>12706079.689999999</c:v>
                </c:pt>
                <c:pt idx="8">
                  <c:v>103535128.32999994</c:v>
                </c:pt>
                <c:pt idx="9">
                  <c:v>56851264.010000005</c:v>
                </c:pt>
                <c:pt idx="10">
                  <c:v>22382206.799999993</c:v>
                </c:pt>
                <c:pt idx="11">
                  <c:v>1207979.44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82453648"/>
        <c:axId val="582454432"/>
      </c:barChart>
      <c:valAx>
        <c:axId val="582454432"/>
        <c:scaling>
          <c:orientation val="minMax"/>
          <c:max val="7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453648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58245364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454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FY2022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(2022)'!$B$67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(2022)'!$A$68:$A$71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(2022)'!$B$68:$B$71</c:f>
              <c:numCache>
                <c:formatCode>#,##0_);[Red]\(#,##0\)</c:formatCode>
                <c:ptCount val="4"/>
                <c:pt idx="0">
                  <c:v>682980802</c:v>
                </c:pt>
                <c:pt idx="1">
                  <c:v>90000</c:v>
                </c:pt>
                <c:pt idx="2">
                  <c:v>537945677.53000009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(2022)'!$C$67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(2022)'!$A$68:$A$71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(2022)'!$C$68:$C$71</c:f>
              <c:numCache>
                <c:formatCode>#,##0_);[Red]\(#,##0\)</c:formatCode>
                <c:ptCount val="4"/>
                <c:pt idx="0">
                  <c:v>703355698.65000021</c:v>
                </c:pt>
                <c:pt idx="1">
                  <c:v>348503.86</c:v>
                </c:pt>
                <c:pt idx="2">
                  <c:v>527374639.91000003</c:v>
                </c:pt>
                <c:pt idx="3">
                  <c:v>129053.03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2452080"/>
        <c:axId val="58244384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(2022)'!$A$68:$A$71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(2022)'!$R$54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(2022)'!$A$68:$A$71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(2022)'!$R$54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(2022)'!$A$68:$A$71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(2022)'!$R$54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(2022)'!$R$54</c15:sqref>
                        </c15:formulaRef>
                      </c:ext>
                    </c:extLst>
                    <c:strCache>
                      <c:ptCount val="1"/>
                      <c:pt idx="0">
                        <c:v>(LOCAL &amp; OTHER)	Budgeted: $684,519,058	Actual: $703,833,256  102.82%
(STATE)	Budgeted: $537,945,678	Actual: $527,374,640   98.03%
TOTAL Budgeted: $1,222,464,736	Actual: $1,231,207,895   100.72%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(2022)'!$S$54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(2022)'!$R$54</c15:sqref>
                        </c15:formulaRef>
                      </c:ext>
                    </c:extLst>
                    <c:strCache>
                      <c:ptCount val="1"/>
                      <c:pt idx="0">
                        <c:v>(LOCAL &amp; OTHER)	Budgeted: $684,519,058	Actual: $703,833,256  102.82%
(STATE)	Budgeted: $537,945,678	Actual: $527,374,640   98.03%
TOTAL Budgeted: $1,222,464,736	Actual: $1,231,207,895   100.72%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(2022)'!$T$54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(2022)'!$R$54</c15:sqref>
                        </c15:formulaRef>
                      </c:ext>
                    </c:extLst>
                    <c:strCache>
                      <c:ptCount val="1"/>
                      <c:pt idx="0">
                        <c:v>(LOCAL &amp; OTHER)	Budgeted: $684,519,058	Actual: $703,833,256  102.82%
(STATE)	Budgeted: $537,945,678	Actual: $527,374,640   98.03%
TOTAL Budgeted: $1,222,464,736	Actual: $1,231,207,895   100.72%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(2022)'!$U$54</c15:sqref>
                        </c15:formulaRef>
                      </c:ext>
                    </c:extLst>
                    <c:numCache>
                      <c:formatCode>#,##0.000000_);[Red]\(#,##0.000000\)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(2022)'!$R$54</c15:sqref>
                        </c15:formulaRef>
                      </c:ext>
                    </c:extLst>
                    <c:strCache>
                      <c:ptCount val="1"/>
                      <c:pt idx="0">
                        <c:v>(LOCAL &amp; OTHER)	Budgeted: $684,519,058	Actual: $703,833,256  102.82%
(STATE)	Budgeted: $537,945,678	Actual: $527,374,640   98.03%
TOTAL Budgeted: $1,222,464,736	Actual: $1,231,207,895   100.72%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(2022)'!$S$54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(2022)'!$R$54</c15:sqref>
                        </c15:formulaRef>
                      </c:ext>
                    </c:extLst>
                    <c:strCache>
                      <c:ptCount val="1"/>
                      <c:pt idx="0">
                        <c:v>(LOCAL &amp; OTHER)	Budgeted: $684,519,058	Actual: $703,833,256  102.82%
(STATE)	Budgeted: $537,945,678	Actual: $527,374,640   98.03%
TOTAL Budgeted: $1,222,464,736	Actual: $1,231,207,895   100.72%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(2022)'!$T$54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(2022)'!$R$54</c15:sqref>
                        </c15:formulaRef>
                      </c:ext>
                    </c:extLst>
                    <c:strCache>
                      <c:ptCount val="1"/>
                      <c:pt idx="0">
                        <c:v>(LOCAL &amp; OTHER)	Budgeted: $684,519,058	Actual: $703,833,256  102.82%
(STATE)	Budgeted: $537,945,678	Actual: $527,374,640   98.03%
TOTAL Budgeted: $1,222,464,736	Actual: $1,231,207,895   100.72%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(2022)'!$U$54</c15:sqref>
                        </c15:formulaRef>
                      </c:ext>
                    </c:extLst>
                    <c:numCache>
                      <c:formatCode>#,##0.000000_);[Red]\(#,##0.000000\)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582452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443848"/>
        <c:crosses val="autoZero"/>
        <c:auto val="1"/>
        <c:lblAlgn val="ctr"/>
        <c:lblOffset val="100"/>
        <c:noMultiLvlLbl val="0"/>
      </c:catAx>
      <c:valAx>
        <c:axId val="582443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45208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25" footer="0.25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5" bottom="0.5" header="0.3" footer="0.3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5" bottom="0.5" header="0" footer="0.25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2)'!$B$26:$F$26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72" y="974837"/>
          <a:ext cx="5716848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$1,198,291,400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$1,139,032,582</a:t>
          </a:r>
          <a:endParaRPr lang="en-US" sz="1200" b="1"/>
        </a:p>
      </cdr:txBody>
    </cdr:sp>
  </cdr:relSizeAnchor>
  <cdr:relSizeAnchor xmlns:cdr="http://schemas.openxmlformats.org/drawingml/2006/chartDrawing">
    <cdr:from>
      <cdr:x>0.76128</cdr:x>
      <cdr:y>0.95346</cdr:y>
    </cdr:from>
    <cdr:to>
      <cdr:x>0.92678</cdr:x>
      <cdr:y>0.98872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229475" y="6438900"/>
          <a:ext cx="15716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i="1"/>
            <a:t>(GOLD Case: $22,500.000)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67532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$1,139,032,582</a:t>
          </a:r>
          <a:endParaRPr lang="en-US" sz="1050">
            <a:effectLst/>
          </a:endParaRPr>
        </a:p>
      </cdr:txBody>
    </cdr:sp>
  </cdr:relSizeAnchor>
  <cdr:relSizeAnchor xmlns:cdr="http://schemas.openxmlformats.org/drawingml/2006/chartDrawing">
    <cdr:from>
      <cdr:x>0.34136</cdr:x>
      <cdr:y>0.43065</cdr:y>
    </cdr:from>
    <cdr:to>
      <cdr:x>0.50685</cdr:x>
      <cdr:y>0.46591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241675" y="2908300"/>
          <a:ext cx="157162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i="1"/>
            <a:t>(GOLD Case: $22,500.000)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67573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Budgeted: $684,519,058 Actual: $703,833,256  102.82%</a:t>
          </a:r>
          <a:br>
            <a:rPr lang="en-US" sz="1100"/>
          </a:br>
          <a:r>
            <a:rPr lang="en-US" sz="1100"/>
            <a:t>(STATE) Budgeted: $537,945,678 Actual: $527,374,640   98.03%</a:t>
          </a:r>
          <a:br>
            <a:rPr lang="en-US" sz="1100"/>
          </a:br>
          <a:r>
            <a:rPr lang="en-US" sz="1100"/>
            <a:t>TOTAL Budgeted: $1,222,464,736 Actual: $1,231,207,895   100.72%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" style="31" bestFit="1" customWidth="1"/>
    <col min="3" max="3" width="20.85546875" style="31" bestFit="1" customWidth="1"/>
    <col min="4" max="4" width="14.28515625" style="31" bestFit="1" customWidth="1"/>
    <col min="5" max="5" width="14.7109375" style="31" bestFit="1" customWidth="1"/>
    <col min="6" max="6" width="16.28515625" style="31" customWidth="1"/>
    <col min="7" max="7" width="15.28515625" style="31" customWidth="1"/>
    <col min="8" max="8" width="14.5703125" style="31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40" bestFit="1" customWidth="1"/>
    <col min="17" max="17" width="13.5703125" style="140" bestFit="1" customWidth="1"/>
    <col min="18" max="16384" width="9.140625" style="1"/>
  </cols>
  <sheetData>
    <row r="1" spans="1:17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L1" s="141"/>
      <c r="M1" s="141"/>
      <c r="N1" s="141"/>
      <c r="O1" s="141"/>
      <c r="P1" s="141"/>
    </row>
    <row r="2" spans="1:17" ht="18.75" x14ac:dyDescent="0.3">
      <c r="A2" s="157" t="s">
        <v>41</v>
      </c>
      <c r="B2" s="157"/>
      <c r="C2" s="157"/>
      <c r="D2" s="157"/>
      <c r="E2" s="157"/>
      <c r="F2" s="157"/>
      <c r="G2" s="157"/>
      <c r="H2" s="157"/>
      <c r="I2" s="157"/>
      <c r="L2" s="141"/>
      <c r="M2" s="141"/>
      <c r="N2" s="141"/>
      <c r="O2" s="141"/>
      <c r="P2" s="141"/>
    </row>
    <row r="3" spans="1:17" x14ac:dyDescent="0.25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L3" s="141"/>
      <c r="M3" s="141"/>
      <c r="N3" s="141"/>
      <c r="O3" s="141"/>
      <c r="P3" s="141"/>
    </row>
    <row r="4" spans="1:17" x14ac:dyDescent="0.25">
      <c r="A4" s="158">
        <v>44742</v>
      </c>
      <c r="B4" s="158"/>
      <c r="C4" s="158"/>
      <c r="D4" s="158"/>
      <c r="E4" s="158"/>
      <c r="F4" s="158"/>
      <c r="G4" s="158"/>
      <c r="H4" s="158"/>
      <c r="I4" s="158"/>
      <c r="L4" s="141"/>
      <c r="M4" s="141"/>
      <c r="N4" s="141"/>
      <c r="O4" s="141"/>
      <c r="P4" s="141"/>
    </row>
    <row r="5" spans="1:17" x14ac:dyDescent="0.25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L5" s="141"/>
      <c r="M5" s="141"/>
      <c r="N5" s="141"/>
      <c r="O5" s="141"/>
      <c r="P5" s="141"/>
    </row>
    <row r="6" spans="1:17" ht="15.75" thickBot="1" x14ac:dyDescent="0.3">
      <c r="A6" s="156"/>
      <c r="B6" s="156"/>
      <c r="C6" s="156"/>
      <c r="D6" s="156"/>
      <c r="E6" s="156"/>
      <c r="F6" s="156"/>
      <c r="G6" s="156"/>
      <c r="H6" s="156"/>
      <c r="I6" s="156"/>
      <c r="L6" s="141"/>
      <c r="M6" s="141"/>
      <c r="N6" s="141"/>
      <c r="O6" s="141"/>
      <c r="P6" s="141"/>
    </row>
    <row r="7" spans="1:17" s="5" customFormat="1" ht="45.75" thickBot="1" x14ac:dyDescent="0.25">
      <c r="A7" s="2" t="s">
        <v>37</v>
      </c>
      <c r="B7" s="33" t="s">
        <v>39</v>
      </c>
      <c r="C7" s="33" t="s">
        <v>38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36</v>
      </c>
      <c r="L7" s="141"/>
      <c r="M7" s="141"/>
      <c r="N7" s="141"/>
      <c r="O7" s="141"/>
      <c r="P7" s="141"/>
      <c r="Q7" s="141"/>
    </row>
    <row r="8" spans="1:17" s="5" customFormat="1" x14ac:dyDescent="0.2">
      <c r="A8" s="6" t="s">
        <v>8</v>
      </c>
      <c r="B8" s="7">
        <v>682878667</v>
      </c>
      <c r="C8" s="7">
        <v>682980802</v>
      </c>
      <c r="D8" s="7">
        <v>8421309.4599999972</v>
      </c>
      <c r="E8" s="7">
        <v>703355698.64999986</v>
      </c>
      <c r="F8" s="7">
        <v>0</v>
      </c>
      <c r="G8" s="7">
        <f t="shared" ref="G8:G27" si="0">SUM(E8:F8)</f>
        <v>703355698.64999986</v>
      </c>
      <c r="H8" s="7">
        <f t="shared" ref="H8:H11" si="1">C8-G8</f>
        <v>-20374896.649999857</v>
      </c>
      <c r="I8" s="36">
        <f>IF(C8=0,"NA",H8/C8)</f>
        <v>-2.9832312402245029E-2</v>
      </c>
      <c r="L8" s="141"/>
      <c r="M8" s="141"/>
      <c r="N8" s="141"/>
      <c r="O8" s="141"/>
      <c r="P8" s="141"/>
      <c r="Q8" s="141"/>
    </row>
    <row r="9" spans="1:17" s="5" customFormat="1" x14ac:dyDescent="0.2">
      <c r="A9" s="6" t="s">
        <v>9</v>
      </c>
      <c r="B9" s="7">
        <v>90000</v>
      </c>
      <c r="C9" s="7">
        <v>90000</v>
      </c>
      <c r="D9" s="7">
        <v>125074.35</v>
      </c>
      <c r="E9" s="7">
        <v>348503.86</v>
      </c>
      <c r="F9" s="7">
        <v>0</v>
      </c>
      <c r="G9" s="7">
        <f>SUM(E9:F9)</f>
        <v>348503.86</v>
      </c>
      <c r="H9" s="7">
        <f>C9-G9</f>
        <v>-258503.86</v>
      </c>
      <c r="I9" s="36">
        <f t="shared" ref="I9:I28" si="2">IF(C9=0,"NA",H9/C9)</f>
        <v>-2.872265111111111</v>
      </c>
      <c r="L9" s="141"/>
      <c r="M9" s="141"/>
      <c r="N9" s="141"/>
      <c r="O9" s="141"/>
      <c r="P9" s="141"/>
      <c r="Q9" s="141"/>
    </row>
    <row r="10" spans="1:17" s="5" customFormat="1" x14ac:dyDescent="0.2">
      <c r="A10" s="6" t="s">
        <v>10</v>
      </c>
      <c r="B10" s="7">
        <v>494723110.72999996</v>
      </c>
      <c r="C10" s="7">
        <v>537945677.53000009</v>
      </c>
      <c r="D10" s="7">
        <v>53241681.310000002</v>
      </c>
      <c r="E10" s="7">
        <v>527374639.91000003</v>
      </c>
      <c r="F10" s="7">
        <v>0</v>
      </c>
      <c r="G10" s="7">
        <f t="shared" si="0"/>
        <v>527374639.91000003</v>
      </c>
      <c r="H10" s="7">
        <f t="shared" si="1"/>
        <v>10571037.620000064</v>
      </c>
      <c r="I10" s="36">
        <f t="shared" si="2"/>
        <v>1.9650752969216933E-2</v>
      </c>
      <c r="L10" s="141"/>
      <c r="M10" s="141"/>
      <c r="N10" s="141"/>
      <c r="O10" s="141"/>
      <c r="P10" s="141"/>
      <c r="Q10" s="141"/>
    </row>
    <row r="11" spans="1:17" s="5" customFormat="1" x14ac:dyDescent="0.2">
      <c r="A11" s="6" t="s">
        <v>11</v>
      </c>
      <c r="B11" s="7">
        <v>1448256</v>
      </c>
      <c r="C11" s="7">
        <v>1448256</v>
      </c>
      <c r="D11" s="7">
        <v>4.5</v>
      </c>
      <c r="E11" s="7">
        <v>129053.03</v>
      </c>
      <c r="F11" s="7">
        <v>0</v>
      </c>
      <c r="G11" s="7">
        <f t="shared" si="0"/>
        <v>129053.03</v>
      </c>
      <c r="H11" s="7">
        <f t="shared" si="1"/>
        <v>1319202.97</v>
      </c>
      <c r="I11" s="36">
        <f t="shared" si="2"/>
        <v>0.9108907334062486</v>
      </c>
      <c r="L11" s="141"/>
      <c r="M11" s="141"/>
      <c r="N11" s="141"/>
      <c r="O11" s="141"/>
      <c r="P11" s="141"/>
      <c r="Q11" s="141"/>
    </row>
    <row r="12" spans="1:17" s="5" customFormat="1" x14ac:dyDescent="0.25">
      <c r="A12" s="10" t="s">
        <v>12</v>
      </c>
      <c r="B12" s="11">
        <f t="shared" ref="B12:H12" si="3">SUM(B8:B11)</f>
        <v>1179140033.73</v>
      </c>
      <c r="C12" s="11">
        <f t="shared" si="3"/>
        <v>1222464735.5300002</v>
      </c>
      <c r="D12" s="11">
        <f t="shared" si="3"/>
        <v>61788069.619999997</v>
      </c>
      <c r="E12" s="11">
        <f t="shared" si="3"/>
        <v>1231207895.4499998</v>
      </c>
      <c r="F12" s="11">
        <f t="shared" si="3"/>
        <v>0</v>
      </c>
      <c r="G12" s="11">
        <f t="shared" si="3"/>
        <v>1231207895.4499998</v>
      </c>
      <c r="H12" s="11">
        <f t="shared" si="3"/>
        <v>-8743159.9199997913</v>
      </c>
      <c r="I12" s="37">
        <f t="shared" si="2"/>
        <v>-7.1520753653553778E-3</v>
      </c>
      <c r="L12" s="140"/>
      <c r="M12" s="140"/>
      <c r="N12" s="140"/>
      <c r="O12" s="140"/>
      <c r="P12" s="140"/>
      <c r="Q12" s="141"/>
    </row>
    <row r="13" spans="1:17" s="5" customFormat="1" x14ac:dyDescent="0.25">
      <c r="A13" s="13" t="s">
        <v>13</v>
      </c>
      <c r="B13" s="14">
        <v>755802652.32999933</v>
      </c>
      <c r="C13" s="14">
        <v>755484735.90999925</v>
      </c>
      <c r="D13" s="14">
        <v>68227141.00000158</v>
      </c>
      <c r="E13" s="14">
        <v>738385645.43000281</v>
      </c>
      <c r="F13" s="14">
        <v>955395.85999999964</v>
      </c>
      <c r="G13" s="14">
        <f t="shared" si="0"/>
        <v>739341041.29000282</v>
      </c>
      <c r="H13" s="14">
        <f t="shared" ref="H13:H27" si="4">C13-G13</f>
        <v>16143694.619996428</v>
      </c>
      <c r="I13" s="36">
        <f t="shared" si="2"/>
        <v>2.136865756864163E-2</v>
      </c>
      <c r="L13" s="140"/>
      <c r="M13" s="140"/>
      <c r="N13" s="140"/>
      <c r="O13" s="140"/>
      <c r="P13" s="140"/>
      <c r="Q13" s="141"/>
    </row>
    <row r="14" spans="1:17" s="5" customFormat="1" x14ac:dyDescent="0.25">
      <c r="A14" s="6" t="s">
        <v>14</v>
      </c>
      <c r="B14" s="7">
        <v>74810197.650000006</v>
      </c>
      <c r="C14" s="7">
        <v>75396268.970000014</v>
      </c>
      <c r="D14" s="7">
        <v>6324493.609999991</v>
      </c>
      <c r="E14" s="7">
        <v>66641655.029999986</v>
      </c>
      <c r="F14" s="7">
        <v>357465.44</v>
      </c>
      <c r="G14" s="7">
        <f t="shared" si="0"/>
        <v>66999120.469999984</v>
      </c>
      <c r="H14" s="7">
        <f t="shared" si="4"/>
        <v>8397148.5000000298</v>
      </c>
      <c r="I14" s="36">
        <f t="shared" si="2"/>
        <v>0.11137352835511309</v>
      </c>
      <c r="L14" s="140"/>
      <c r="M14" s="140"/>
      <c r="N14" s="140"/>
      <c r="O14" s="140"/>
      <c r="P14" s="140"/>
      <c r="Q14" s="141"/>
    </row>
    <row r="15" spans="1:17" s="5" customFormat="1" x14ac:dyDescent="0.25">
      <c r="A15" s="6" t="s">
        <v>15</v>
      </c>
      <c r="B15" s="7">
        <v>14510372.380000001</v>
      </c>
      <c r="C15" s="7">
        <v>12818106.840000002</v>
      </c>
      <c r="D15" s="7">
        <v>1076889.4300000011</v>
      </c>
      <c r="E15" s="7">
        <v>12332679.210000006</v>
      </c>
      <c r="F15" s="7">
        <v>178455.51000000004</v>
      </c>
      <c r="G15" s="7">
        <f t="shared" si="0"/>
        <v>12511134.720000006</v>
      </c>
      <c r="H15" s="7">
        <f t="shared" si="4"/>
        <v>306972.11999999546</v>
      </c>
      <c r="I15" s="36">
        <f t="shared" si="2"/>
        <v>2.3948319656851558E-2</v>
      </c>
      <c r="L15" s="140"/>
      <c r="M15" s="140"/>
      <c r="N15" s="140"/>
      <c r="O15" s="140"/>
      <c r="P15" s="140"/>
      <c r="Q15" s="141"/>
    </row>
    <row r="16" spans="1:17" s="5" customFormat="1" x14ac:dyDescent="0.2">
      <c r="A16" s="6" t="s">
        <v>16</v>
      </c>
      <c r="B16" s="7">
        <v>370176</v>
      </c>
      <c r="C16" s="7">
        <v>405027</v>
      </c>
      <c r="D16" s="7">
        <v>23285</v>
      </c>
      <c r="E16" s="7">
        <v>38494.22</v>
      </c>
      <c r="F16" s="7">
        <v>4352.49</v>
      </c>
      <c r="G16" s="7">
        <f t="shared" si="0"/>
        <v>42846.71</v>
      </c>
      <c r="H16" s="7">
        <f t="shared" si="4"/>
        <v>362180.29</v>
      </c>
      <c r="I16" s="36">
        <f t="shared" si="2"/>
        <v>0.89421270680720044</v>
      </c>
      <c r="M16" s="141"/>
      <c r="N16" s="141"/>
      <c r="O16" s="141"/>
      <c r="P16" s="141"/>
      <c r="Q16" s="141"/>
    </row>
    <row r="17" spans="1:18" s="5" customFormat="1" x14ac:dyDescent="0.2">
      <c r="A17" s="6" t="s">
        <v>17</v>
      </c>
      <c r="B17" s="7">
        <v>16938019.300000004</v>
      </c>
      <c r="C17" s="7">
        <v>16951116.300000001</v>
      </c>
      <c r="D17" s="7">
        <v>1100652.4100000062</v>
      </c>
      <c r="E17" s="7">
        <v>13372778.030000011</v>
      </c>
      <c r="F17" s="7">
        <v>33313.58</v>
      </c>
      <c r="G17" s="7">
        <f t="shared" si="0"/>
        <v>13406091.610000011</v>
      </c>
      <c r="H17" s="7">
        <f t="shared" si="4"/>
        <v>3545024.6899999902</v>
      </c>
      <c r="I17" s="36">
        <f t="shared" si="2"/>
        <v>0.20913222629473613</v>
      </c>
      <c r="M17" s="141"/>
      <c r="N17" s="141"/>
      <c r="O17" s="141"/>
      <c r="P17" s="141"/>
      <c r="Q17" s="141"/>
    </row>
    <row r="18" spans="1:18" s="5" customFormat="1" x14ac:dyDescent="0.2">
      <c r="A18" s="6" t="s">
        <v>18</v>
      </c>
      <c r="B18" s="7">
        <v>40414766.350000001</v>
      </c>
      <c r="C18" s="7">
        <v>40464450.369999997</v>
      </c>
      <c r="D18" s="7">
        <v>1722715.1700000023</v>
      </c>
      <c r="E18" s="7">
        <v>38350509.57</v>
      </c>
      <c r="F18" s="7">
        <v>336568.83999999997</v>
      </c>
      <c r="G18" s="7">
        <f t="shared" si="0"/>
        <v>38687078.410000004</v>
      </c>
      <c r="H18" s="7">
        <f t="shared" si="4"/>
        <v>1777371.9599999934</v>
      </c>
      <c r="I18" s="36">
        <f t="shared" si="2"/>
        <v>4.3924282765440005E-2</v>
      </c>
      <c r="M18" s="141"/>
      <c r="N18" s="141"/>
      <c r="O18" s="141"/>
      <c r="P18" s="141"/>
      <c r="Q18" s="141"/>
    </row>
    <row r="19" spans="1:18" s="5" customFormat="1" x14ac:dyDescent="0.2">
      <c r="A19" s="6" t="s">
        <v>19</v>
      </c>
      <c r="B19" s="7">
        <v>74300676.270000011</v>
      </c>
      <c r="C19" s="7">
        <v>74278216.270000011</v>
      </c>
      <c r="D19" s="7">
        <v>6322043.9699999364</v>
      </c>
      <c r="E19" s="7">
        <v>73228162.079999939</v>
      </c>
      <c r="F19" s="7">
        <v>0</v>
      </c>
      <c r="G19" s="7">
        <f t="shared" si="0"/>
        <v>73228162.079999939</v>
      </c>
      <c r="H19" s="7">
        <f t="shared" si="4"/>
        <v>1050054.1900000721</v>
      </c>
      <c r="I19" s="36">
        <f t="shared" si="2"/>
        <v>1.4136771757996229E-2</v>
      </c>
      <c r="M19" s="141"/>
      <c r="N19" s="141"/>
      <c r="O19" s="141"/>
      <c r="P19" s="141"/>
      <c r="Q19" s="141"/>
    </row>
    <row r="20" spans="1:18" s="5" customFormat="1" x14ac:dyDescent="0.2">
      <c r="A20" s="6" t="s">
        <v>20</v>
      </c>
      <c r="B20" s="7">
        <v>13871133.069999998</v>
      </c>
      <c r="C20" s="7">
        <v>15468692.07</v>
      </c>
      <c r="D20" s="7">
        <v>1860856.1799999997</v>
      </c>
      <c r="E20" s="7">
        <v>12706079.689999999</v>
      </c>
      <c r="F20" s="7">
        <v>646488.3899999999</v>
      </c>
      <c r="G20" s="7">
        <f t="shared" si="0"/>
        <v>13352568.08</v>
      </c>
      <c r="H20" s="7">
        <f t="shared" si="4"/>
        <v>2116123.9900000002</v>
      </c>
      <c r="I20" s="36">
        <f t="shared" si="2"/>
        <v>0.13680044702059935</v>
      </c>
      <c r="M20" s="141"/>
      <c r="N20" s="141"/>
      <c r="O20" s="141"/>
      <c r="P20" s="141"/>
      <c r="Q20" s="141"/>
    </row>
    <row r="21" spans="1:18" s="5" customFormat="1" x14ac:dyDescent="0.2">
      <c r="A21" s="6" t="s">
        <v>21</v>
      </c>
      <c r="B21" s="7">
        <v>118562800.61</v>
      </c>
      <c r="C21" s="7">
        <v>119858300.02000003</v>
      </c>
      <c r="D21" s="7">
        <v>10103783.929999972</v>
      </c>
      <c r="E21" s="7">
        <v>103535128.32999994</v>
      </c>
      <c r="F21" s="7">
        <v>6680230.8600000013</v>
      </c>
      <c r="G21" s="7">
        <f t="shared" si="0"/>
        <v>110215359.18999994</v>
      </c>
      <c r="H21" s="7">
        <f t="shared" si="4"/>
        <v>9642940.8300000876</v>
      </c>
      <c r="I21" s="36">
        <f t="shared" si="2"/>
        <v>8.0452841633754435E-2</v>
      </c>
      <c r="M21" s="141"/>
      <c r="N21" s="141"/>
      <c r="O21" s="141"/>
      <c r="P21" s="141"/>
      <c r="Q21" s="141"/>
    </row>
    <row r="22" spans="1:18" s="5" customFormat="1" x14ac:dyDescent="0.2">
      <c r="A22" s="6" t="s">
        <v>22</v>
      </c>
      <c r="B22" s="7">
        <v>58885519.219999999</v>
      </c>
      <c r="C22" s="7">
        <v>58207987.719999999</v>
      </c>
      <c r="D22" s="7">
        <v>5251619.9800000004</v>
      </c>
      <c r="E22" s="7">
        <v>56851264.010000013</v>
      </c>
      <c r="F22" s="7">
        <v>2116101.0299999998</v>
      </c>
      <c r="G22" s="7">
        <f t="shared" si="0"/>
        <v>58967365.040000014</v>
      </c>
      <c r="H22" s="7">
        <f t="shared" si="4"/>
        <v>-759377.3200000152</v>
      </c>
      <c r="I22" s="36">
        <f t="shared" si="2"/>
        <v>-1.3045929772609139E-2</v>
      </c>
      <c r="M22" s="141"/>
      <c r="N22" s="141"/>
      <c r="O22" s="141"/>
      <c r="P22" s="141"/>
      <c r="Q22" s="141"/>
    </row>
    <row r="23" spans="1:18" s="5" customFormat="1" x14ac:dyDescent="0.2">
      <c r="A23" s="6" t="s">
        <v>23</v>
      </c>
      <c r="B23" s="7">
        <v>24663089.02</v>
      </c>
      <c r="C23" s="7">
        <v>25849046.57</v>
      </c>
      <c r="D23" s="7">
        <v>2447853.9500000007</v>
      </c>
      <c r="E23" s="7">
        <v>22382206.799999997</v>
      </c>
      <c r="F23" s="7">
        <v>221158.44</v>
      </c>
      <c r="G23" s="7">
        <f t="shared" si="0"/>
        <v>22603365.239999998</v>
      </c>
      <c r="H23" s="7">
        <f t="shared" si="4"/>
        <v>3245681.3300000019</v>
      </c>
      <c r="I23" s="36">
        <f t="shared" si="2"/>
        <v>0.12556290311174917</v>
      </c>
      <c r="M23" s="141"/>
      <c r="N23" s="141"/>
      <c r="O23" s="141"/>
      <c r="P23" s="141"/>
      <c r="Q23" s="141"/>
    </row>
    <row r="24" spans="1:18" s="5" customFormat="1" x14ac:dyDescent="0.25">
      <c r="A24" s="6" t="s">
        <v>24</v>
      </c>
      <c r="B24" s="7">
        <v>1258491.08</v>
      </c>
      <c r="C24" s="7">
        <v>1267665.08</v>
      </c>
      <c r="D24" s="7">
        <v>31553.68</v>
      </c>
      <c r="E24" s="7">
        <v>1207979.44</v>
      </c>
      <c r="F24" s="7">
        <v>0</v>
      </c>
      <c r="G24" s="7">
        <f t="shared" si="0"/>
        <v>1207979.44</v>
      </c>
      <c r="H24" s="7">
        <f t="shared" si="4"/>
        <v>59685.64000000013</v>
      </c>
      <c r="I24" s="36">
        <f t="shared" si="2"/>
        <v>4.708313019082306E-2</v>
      </c>
      <c r="L24" s="1"/>
      <c r="M24" s="140"/>
      <c r="N24" s="140"/>
      <c r="O24" s="140"/>
      <c r="P24" s="140"/>
      <c r="Q24" s="140"/>
    </row>
    <row r="25" spans="1:18" s="5" customFormat="1" x14ac:dyDescent="0.25">
      <c r="A25" s="6" t="s">
        <v>31</v>
      </c>
      <c r="B25" s="7">
        <v>335000</v>
      </c>
      <c r="C25" s="7">
        <v>335000</v>
      </c>
      <c r="D25" s="7">
        <v>0</v>
      </c>
      <c r="E25" s="7">
        <v>0</v>
      </c>
      <c r="F25" s="7">
        <v>0</v>
      </c>
      <c r="G25" s="7">
        <f t="shared" si="0"/>
        <v>0</v>
      </c>
      <c r="H25" s="7">
        <f t="shared" si="4"/>
        <v>335000</v>
      </c>
      <c r="I25" s="36">
        <f t="shared" si="2"/>
        <v>1</v>
      </c>
      <c r="L25" s="1"/>
      <c r="M25" s="140"/>
      <c r="N25" s="140"/>
      <c r="O25" s="140"/>
      <c r="P25" s="140"/>
      <c r="Q25" s="140"/>
    </row>
    <row r="26" spans="1:18" s="5" customFormat="1" x14ac:dyDescent="0.25">
      <c r="A26" s="6" t="s">
        <v>26</v>
      </c>
      <c r="B26" s="7">
        <v>1506787.08</v>
      </c>
      <c r="C26" s="7">
        <v>1506787.08</v>
      </c>
      <c r="D26" s="7">
        <v>0</v>
      </c>
      <c r="E26" s="7">
        <v>0</v>
      </c>
      <c r="F26" s="7">
        <v>0</v>
      </c>
      <c r="G26" s="7">
        <f t="shared" si="0"/>
        <v>0</v>
      </c>
      <c r="H26" s="7">
        <f t="shared" si="4"/>
        <v>1506787.08</v>
      </c>
      <c r="I26" s="36">
        <f t="shared" si="2"/>
        <v>1</v>
      </c>
      <c r="K26" s="1"/>
      <c r="L26" s="1"/>
      <c r="M26" s="140"/>
      <c r="N26" s="140"/>
      <c r="O26" s="140"/>
      <c r="P26" s="140"/>
      <c r="Q26" s="140"/>
      <c r="R26" s="1"/>
    </row>
    <row r="27" spans="1:18" s="5" customFormat="1" x14ac:dyDescent="0.25">
      <c r="A27" s="6" t="s">
        <v>25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0"/>
        <v>0</v>
      </c>
      <c r="H27" s="7">
        <f t="shared" si="4"/>
        <v>0</v>
      </c>
      <c r="I27" s="36" t="str">
        <f t="shared" si="2"/>
        <v>NA</v>
      </c>
      <c r="K27" s="1"/>
      <c r="L27" s="1"/>
      <c r="M27" s="140"/>
      <c r="N27" s="140"/>
      <c r="O27" s="140"/>
      <c r="P27" s="140"/>
      <c r="Q27" s="140"/>
      <c r="R27" s="1"/>
    </row>
    <row r="28" spans="1:18" s="5" customFormat="1" x14ac:dyDescent="0.25">
      <c r="A28" s="10" t="s">
        <v>27</v>
      </c>
      <c r="B28" s="11">
        <f>SUM(B13:B27)</f>
        <v>1196229680.3599992</v>
      </c>
      <c r="C28" s="11">
        <f t="shared" ref="C28:F28" si="5">SUM(C13:C27)</f>
        <v>1198291400.1999991</v>
      </c>
      <c r="D28" s="11">
        <f t="shared" si="5"/>
        <v>104492888.31000152</v>
      </c>
      <c r="E28" s="11">
        <f t="shared" si="5"/>
        <v>1139032581.8400028</v>
      </c>
      <c r="F28" s="11">
        <f t="shared" si="5"/>
        <v>11529530.439999999</v>
      </c>
      <c r="G28" s="11">
        <f t="shared" ref="G28:H28" si="6">SUM(G13:G27)</f>
        <v>1150562112.2800028</v>
      </c>
      <c r="H28" s="11">
        <f t="shared" si="6"/>
        <v>47729287.919996589</v>
      </c>
      <c r="I28" s="37">
        <f t="shared" si="2"/>
        <v>3.9831119468962561E-2</v>
      </c>
      <c r="K28" s="1"/>
      <c r="L28" s="1"/>
      <c r="M28" s="140"/>
      <c r="N28" s="140"/>
      <c r="O28" s="140"/>
      <c r="P28" s="140"/>
      <c r="Q28" s="140"/>
      <c r="R28" s="1"/>
    </row>
    <row r="29" spans="1:18" s="5" customFormat="1" x14ac:dyDescent="0.25">
      <c r="A29" s="13"/>
      <c r="B29" s="14"/>
      <c r="C29" s="14"/>
      <c r="D29" s="14"/>
      <c r="E29" s="14"/>
      <c r="F29" s="14"/>
      <c r="G29" s="14"/>
      <c r="H29" s="14"/>
      <c r="I29" s="16"/>
      <c r="K29" s="1"/>
      <c r="L29" s="1"/>
      <c r="M29" s="140"/>
      <c r="N29" s="140"/>
      <c r="O29" s="140"/>
      <c r="P29" s="140"/>
      <c r="Q29" s="140"/>
      <c r="R29" s="1"/>
    </row>
    <row r="30" spans="1:18" s="5" customFormat="1" x14ac:dyDescent="0.25">
      <c r="A30" s="6" t="s">
        <v>28</v>
      </c>
      <c r="B30" s="7">
        <f>B12-B28</f>
        <v>-17089646.629999161</v>
      </c>
      <c r="C30" s="7">
        <f>C12-C28</f>
        <v>24173335.330001116</v>
      </c>
      <c r="D30" s="7">
        <f>D12-D28</f>
        <v>-42704818.690001525</v>
      </c>
      <c r="E30" s="7">
        <f>E12-E28</f>
        <v>92175313.609997034</v>
      </c>
      <c r="F30" s="7"/>
      <c r="G30" s="7">
        <f>G12-G28</f>
        <v>80645783.169996977</v>
      </c>
      <c r="H30" s="7"/>
      <c r="I30" s="17"/>
      <c r="K30" s="1"/>
      <c r="L30" s="1"/>
      <c r="M30" s="140"/>
      <c r="N30" s="140"/>
      <c r="O30" s="140"/>
      <c r="P30" s="140"/>
      <c r="Q30" s="140"/>
      <c r="R30" s="1"/>
    </row>
    <row r="31" spans="1:18" s="5" customFormat="1" ht="24.95" customHeight="1" x14ac:dyDescent="0.25">
      <c r="A31" s="8"/>
      <c r="B31" s="9"/>
      <c r="C31" s="9"/>
      <c r="D31" s="9"/>
      <c r="E31" s="9"/>
      <c r="F31" s="9"/>
      <c r="G31" s="9"/>
      <c r="H31" s="9"/>
      <c r="I31" s="18"/>
      <c r="K31" s="1"/>
      <c r="L31" s="1"/>
      <c r="M31" s="140"/>
      <c r="N31" s="140"/>
      <c r="O31" s="140"/>
      <c r="P31" s="140"/>
      <c r="Q31" s="140"/>
      <c r="R31" s="1"/>
    </row>
    <row r="32" spans="1:18" s="5" customFormat="1" ht="24.95" customHeight="1" x14ac:dyDescent="0.25">
      <c r="A32" s="19" t="s">
        <v>35</v>
      </c>
      <c r="B32" s="21"/>
      <c r="C32" s="21"/>
      <c r="D32" s="21"/>
      <c r="E32" s="21">
        <v>184818811.33000001</v>
      </c>
      <c r="F32" s="21"/>
      <c r="G32" s="21">
        <f>E32</f>
        <v>184818811.33000001</v>
      </c>
      <c r="H32" s="21"/>
      <c r="I32" s="22"/>
      <c r="K32" s="1"/>
      <c r="L32" s="1"/>
      <c r="M32" s="140"/>
      <c r="N32" s="140"/>
      <c r="O32" s="140"/>
      <c r="P32" s="140"/>
      <c r="Q32" s="140"/>
      <c r="R32" s="1"/>
    </row>
    <row r="33" spans="1:21" s="5" customFormat="1" ht="15.75" thickBot="1" x14ac:dyDescent="0.3">
      <c r="A33" s="23" t="s">
        <v>29</v>
      </c>
      <c r="B33" s="25"/>
      <c r="C33" s="25"/>
      <c r="D33" s="25"/>
      <c r="E33" s="25">
        <f>SUM(E30:E32)</f>
        <v>276994124.93999708</v>
      </c>
      <c r="F33" s="25"/>
      <c r="G33" s="25">
        <f>SUM(G30:G32)</f>
        <v>265464594.49999699</v>
      </c>
      <c r="H33" s="25"/>
      <c r="I33" s="26"/>
      <c r="K33" s="1"/>
      <c r="L33" s="1"/>
      <c r="M33" s="140"/>
      <c r="N33" s="140"/>
      <c r="O33" s="140"/>
      <c r="P33" s="140"/>
      <c r="Q33" s="140"/>
      <c r="R33" s="1"/>
      <c r="S33" s="1"/>
      <c r="T33" s="1"/>
      <c r="U33" s="1"/>
    </row>
    <row r="34" spans="1:21" s="5" customFormat="1" x14ac:dyDescent="0.25">
      <c r="B34" s="34"/>
      <c r="C34" s="34"/>
      <c r="D34" s="34"/>
      <c r="E34" s="34"/>
      <c r="F34" s="34"/>
      <c r="G34" s="34"/>
      <c r="H34" s="34"/>
      <c r="K34" s="1"/>
      <c r="L34" s="1"/>
      <c r="M34" s="140"/>
      <c r="N34" s="140"/>
      <c r="O34" s="140"/>
      <c r="P34" s="140"/>
      <c r="Q34" s="140"/>
      <c r="R34" s="1"/>
      <c r="S34" s="1"/>
      <c r="T34" s="1"/>
      <c r="U34" s="1"/>
    </row>
    <row r="35" spans="1:21" x14ac:dyDescent="0.25">
      <c r="A35" s="32"/>
      <c r="B35" s="34"/>
      <c r="C35" s="34"/>
      <c r="D35" s="34"/>
      <c r="E35" s="34"/>
      <c r="F35" s="34"/>
      <c r="G35" s="34"/>
      <c r="H35" s="34"/>
      <c r="I35" s="5"/>
    </row>
    <row r="36" spans="1:21" x14ac:dyDescent="0.25">
      <c r="I36" s="143"/>
      <c r="J36" s="31"/>
    </row>
    <row r="37" spans="1:21" x14ac:dyDescent="0.25">
      <c r="I37" s="143"/>
    </row>
    <row r="38" spans="1:21" x14ac:dyDescent="0.25">
      <c r="I38" s="31"/>
    </row>
    <row r="39" spans="1:21" x14ac:dyDescent="0.25">
      <c r="I39" s="31"/>
      <c r="J39" s="31"/>
    </row>
    <row r="40" spans="1:21" x14ac:dyDescent="0.25">
      <c r="I40" s="143"/>
    </row>
    <row r="41" spans="1:21" x14ac:dyDescent="0.25">
      <c r="I41" s="31"/>
    </row>
    <row r="42" spans="1:21" x14ac:dyDescent="0.25">
      <c r="I42" s="31"/>
    </row>
    <row r="43" spans="1:21" x14ac:dyDescent="0.25">
      <c r="I43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topLeftCell="E37" workbookViewId="0">
      <selection activeCell="R54" sqref="R54"/>
    </sheetView>
  </sheetViews>
  <sheetFormatPr defaultRowHeight="12.75" x14ac:dyDescent="0.2"/>
  <cols>
    <col min="1" max="1" width="32.42578125" style="52" bestFit="1" customWidth="1"/>
    <col min="2" max="2" width="15.7109375" style="52" customWidth="1"/>
    <col min="3" max="3" width="18.7109375" style="52" customWidth="1"/>
    <col min="4" max="4" width="45.5703125" style="52" bestFit="1" customWidth="1"/>
    <col min="5" max="5" width="16.140625" style="52" customWidth="1"/>
    <col min="6" max="6" width="12.5703125" style="51" customWidth="1"/>
    <col min="7" max="7" width="13.42578125" style="51" bestFit="1" customWidth="1"/>
    <col min="8" max="8" width="14.42578125" style="51" bestFit="1" customWidth="1"/>
    <col min="9" max="9" width="16" style="51" bestFit="1" customWidth="1"/>
    <col min="10" max="12" width="12.5703125" style="51" customWidth="1"/>
    <col min="13" max="16" width="13.42578125" style="51" bestFit="1" customWidth="1"/>
    <col min="17" max="17" width="12.5703125" style="51" customWidth="1"/>
    <col min="18" max="18" width="69.140625" style="52" customWidth="1"/>
    <col min="19" max="20" width="17" style="102" customWidth="1"/>
    <col min="21" max="21" width="17" style="150" customWidth="1"/>
    <col min="22" max="16384" width="9.140625" style="52"/>
  </cols>
  <sheetData>
    <row r="1" spans="1:21" ht="21" thickBot="1" x14ac:dyDescent="0.25">
      <c r="A1" s="162" t="s">
        <v>46</v>
      </c>
      <c r="B1" s="163"/>
      <c r="C1" s="163"/>
      <c r="D1" s="163"/>
      <c r="E1" s="163"/>
      <c r="F1" s="163"/>
      <c r="G1" s="164"/>
      <c r="H1" s="50"/>
    </row>
    <row r="2" spans="1:21" x14ac:dyDescent="0.2">
      <c r="A2" s="53"/>
      <c r="B2" s="50"/>
      <c r="C2" s="53"/>
      <c r="D2" s="53"/>
      <c r="E2" s="53"/>
      <c r="F2" s="50"/>
      <c r="G2" s="50"/>
    </row>
    <row r="3" spans="1:21" x14ac:dyDescent="0.2">
      <c r="A3" s="165" t="s">
        <v>47</v>
      </c>
      <c r="B3" s="166"/>
      <c r="C3" s="166"/>
      <c r="D3" s="166"/>
      <c r="E3" s="166"/>
      <c r="F3" s="166"/>
      <c r="G3" s="166"/>
    </row>
    <row r="4" spans="1:21" ht="13.5" thickBot="1" x14ac:dyDescent="0.25">
      <c r="A4" s="53"/>
      <c r="B4" s="50"/>
      <c r="C4" s="53"/>
      <c r="D4" s="53"/>
      <c r="E4" s="53"/>
      <c r="F4" s="50"/>
      <c r="G4" s="50"/>
    </row>
    <row r="5" spans="1:21" ht="26.25" thickBot="1" x14ac:dyDescent="0.25">
      <c r="B5" s="54" t="s">
        <v>48</v>
      </c>
      <c r="C5" s="55" t="s">
        <v>49</v>
      </c>
      <c r="D5" s="53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</row>
    <row r="6" spans="1:21" ht="13.5" thickBot="1" x14ac:dyDescent="0.25">
      <c r="A6" s="56" t="s">
        <v>50</v>
      </c>
      <c r="B6" s="57">
        <v>1198291400.2</v>
      </c>
      <c r="C6" s="58">
        <f>SUM(F24:Q24)</f>
        <v>1139032581.8400018</v>
      </c>
      <c r="D6" s="53"/>
      <c r="E6" s="53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21" ht="26.25" thickBot="1" x14ac:dyDescent="0.25">
      <c r="B7" s="50"/>
      <c r="C7" s="59"/>
      <c r="D7" s="60"/>
      <c r="E7" s="61" t="s">
        <v>51</v>
      </c>
      <c r="F7" s="62" t="s">
        <v>52</v>
      </c>
      <c r="G7" s="63" t="s">
        <v>53</v>
      </c>
      <c r="H7" s="63" t="s">
        <v>54</v>
      </c>
      <c r="I7" s="63" t="s">
        <v>55</v>
      </c>
      <c r="J7" s="63" t="s">
        <v>56</v>
      </c>
      <c r="K7" s="63" t="s">
        <v>57</v>
      </c>
      <c r="L7" s="63" t="s">
        <v>58</v>
      </c>
      <c r="M7" s="63" t="s">
        <v>59</v>
      </c>
      <c r="N7" s="63" t="s">
        <v>60</v>
      </c>
      <c r="O7" s="63" t="s">
        <v>61</v>
      </c>
      <c r="P7" s="63" t="s">
        <v>62</v>
      </c>
      <c r="Q7" s="64" t="s">
        <v>63</v>
      </c>
    </row>
    <row r="8" spans="1:21" x14ac:dyDescent="0.2">
      <c r="B8" s="51"/>
      <c r="D8" s="53"/>
      <c r="E8" s="65"/>
      <c r="P8" s="52"/>
      <c r="Q8" s="52"/>
    </row>
    <row r="9" spans="1:21" x14ac:dyDescent="0.2">
      <c r="B9" s="51"/>
      <c r="D9" s="53" t="s">
        <v>13</v>
      </c>
      <c r="E9" s="66">
        <f>SUM(F9:Q9)</f>
        <v>738385645.43000281</v>
      </c>
      <c r="F9" s="51">
        <v>5049519.1600000039</v>
      </c>
      <c r="G9" s="51">
        <f>8975121.27999981</f>
        <v>8975121.2799998093</v>
      </c>
      <c r="H9" s="51">
        <v>71744725.180001497</v>
      </c>
      <c r="I9" s="51">
        <f>75267289.8900014+122981.32</f>
        <v>75390271.210001394</v>
      </c>
      <c r="J9" s="51">
        <f>72289342.9300013+81594.6499965191</f>
        <v>72370937.579997823</v>
      </c>
      <c r="K9" s="51">
        <f>69958597.4300015+124517.169995546</f>
        <v>70083114.599997044</v>
      </c>
      <c r="L9" s="51">
        <f>69771332.0300017+70842.1100007892</f>
        <v>69842174.140002489</v>
      </c>
      <c r="M9" s="51">
        <f>70076081.3600016 + 189600.559999168</f>
        <v>70265681.920000762</v>
      </c>
      <c r="N9" s="51">
        <f>70515345.2500016 + 153140.76999867</f>
        <v>70668486.020000264</v>
      </c>
      <c r="O9" s="51">
        <f>85599985.3200014 + 99188.7699985504</f>
        <v>85699174.089999944</v>
      </c>
      <c r="P9" s="52">
        <f>70580849.1300015-511549.880001426</f>
        <v>70069299.250000075</v>
      </c>
      <c r="Q9" s="52">
        <v>68227141.00000158</v>
      </c>
      <c r="R9" s="52" t="s">
        <v>13</v>
      </c>
      <c r="S9" s="102">
        <v>738385645.43000281</v>
      </c>
      <c r="T9" s="102">
        <f>S9-E9</f>
        <v>0</v>
      </c>
      <c r="U9" s="150">
        <v>-511549.88000142598</v>
      </c>
    </row>
    <row r="10" spans="1:21" x14ac:dyDescent="0.2">
      <c r="B10" s="51"/>
      <c r="D10" s="53" t="s">
        <v>14</v>
      </c>
      <c r="E10" s="66">
        <f t="shared" ref="E10:E23" si="0">SUM(F10:Q10)</f>
        <v>66641655.029999986</v>
      </c>
      <c r="F10" s="51">
        <v>677204.84999999939</v>
      </c>
      <c r="G10" s="51">
        <v>1607818.7099999918</v>
      </c>
      <c r="H10" s="51">
        <v>6274001.9200000018</v>
      </c>
      <c r="I10" s="51">
        <f>6284744.2+687.16</f>
        <v>6285431.3600000003</v>
      </c>
      <c r="J10" s="51">
        <f>6207483.57+9114.45000014081</f>
        <v>6216598.0200001411</v>
      </c>
      <c r="K10" s="51">
        <v>6238170.4400000023</v>
      </c>
      <c r="L10" s="51">
        <f>6212511.16999999+116.269999839365</f>
        <v>6212627.439999829</v>
      </c>
      <c r="M10" s="51">
        <v>6291957.3499999493</v>
      </c>
      <c r="N10" s="51">
        <v>6237199.0899999877</v>
      </c>
      <c r="O10" s="51">
        <f>7902000.14999995</f>
        <v>7902000.1499999501</v>
      </c>
      <c r="P10" s="52">
        <f>6540526.09999994-166374.009999797</f>
        <v>6374152.0900001433</v>
      </c>
      <c r="Q10" s="52">
        <v>6324493.609999991</v>
      </c>
      <c r="R10" s="52" t="s">
        <v>14</v>
      </c>
      <c r="S10" s="102">
        <v>66641655.029999986</v>
      </c>
      <c r="T10" s="102">
        <f t="shared" ref="T10:T23" si="1">S10-E10</f>
        <v>0</v>
      </c>
      <c r="U10" s="150">
        <v>-166374.00999979701</v>
      </c>
    </row>
    <row r="11" spans="1:21" x14ac:dyDescent="0.2">
      <c r="B11" s="51"/>
      <c r="D11" s="53" t="s">
        <v>15</v>
      </c>
      <c r="E11" s="66">
        <f t="shared" si="0"/>
        <v>12332679.210000006</v>
      </c>
      <c r="F11" s="51">
        <v>824792.31</v>
      </c>
      <c r="G11" s="51">
        <f>737123.26</f>
        <v>737123.26</v>
      </c>
      <c r="H11" s="51">
        <v>931686.39</v>
      </c>
      <c r="I11" s="51">
        <f>1016966.34+7442.19</f>
        <v>1024408.5299999999</v>
      </c>
      <c r="J11" s="51">
        <f>899026.47+13963.6599999992</f>
        <v>912990.12999999919</v>
      </c>
      <c r="K11" s="51">
        <f>1008893.99+1128.14000000525</f>
        <v>1010022.1300000052</v>
      </c>
      <c r="L11" s="51">
        <f>928222.46+44936.5999999977</f>
        <v>973159.05999999761</v>
      </c>
      <c r="M11" s="51">
        <f>1056089.03 + 14962.5199999976</f>
        <v>1071051.5499999977</v>
      </c>
      <c r="N11" s="51">
        <f>1057887.81 + 6669.27000000141</f>
        <v>1064557.0800000015</v>
      </c>
      <c r="O11" s="51">
        <f>1250252.37 + 22259.75</f>
        <v>1272512.1200000001</v>
      </c>
      <c r="P11" s="52">
        <f>1433984.97-497.749999998137</f>
        <v>1433487.2200000018</v>
      </c>
      <c r="Q11" s="52">
        <v>1076889.4300000011</v>
      </c>
      <c r="R11" s="52" t="s">
        <v>15</v>
      </c>
      <c r="S11" s="102">
        <v>12332679.210000006</v>
      </c>
      <c r="T11" s="102">
        <f t="shared" si="1"/>
        <v>0</v>
      </c>
      <c r="U11" s="150">
        <v>-497.74999999813701</v>
      </c>
    </row>
    <row r="12" spans="1:21" x14ac:dyDescent="0.2">
      <c r="B12" s="51"/>
      <c r="D12" s="53" t="s">
        <v>16</v>
      </c>
      <c r="E12" s="66">
        <f t="shared" si="0"/>
        <v>38494.22</v>
      </c>
      <c r="F12" s="51">
        <v>0</v>
      </c>
      <c r="G12" s="51">
        <v>3370</v>
      </c>
      <c r="H12" s="51">
        <v>0</v>
      </c>
      <c r="I12" s="51">
        <v>0</v>
      </c>
      <c r="J12" s="51">
        <v>0</v>
      </c>
      <c r="K12" s="51">
        <v>6166.72</v>
      </c>
      <c r="L12" s="51">
        <v>0</v>
      </c>
      <c r="M12" s="51">
        <v>502.99</v>
      </c>
      <c r="N12" s="51">
        <v>0</v>
      </c>
      <c r="O12" s="51">
        <f>324465-322321</f>
        <v>2144</v>
      </c>
      <c r="P12" s="52">
        <v>3025.51</v>
      </c>
      <c r="Q12" s="52">
        <v>23285</v>
      </c>
      <c r="R12" s="52" t="s">
        <v>16</v>
      </c>
      <c r="S12" s="102">
        <v>38494.22</v>
      </c>
      <c r="T12" s="102">
        <f t="shared" si="1"/>
        <v>0</v>
      </c>
      <c r="U12" s="150">
        <v>-322321</v>
      </c>
    </row>
    <row r="13" spans="1:21" x14ac:dyDescent="0.2">
      <c r="B13" s="51"/>
      <c r="D13" s="53" t="s">
        <v>17</v>
      </c>
      <c r="E13" s="66">
        <f t="shared" si="0"/>
        <v>13372778.030000014</v>
      </c>
      <c r="F13" s="51">
        <v>46648.260000000009</v>
      </c>
      <c r="G13" s="51">
        <f>175553.92</f>
        <v>175553.92000000001</v>
      </c>
      <c r="H13" s="51">
        <v>1291102.9300000099</v>
      </c>
      <c r="I13" s="51">
        <f>1318768.09000001+120804.66</f>
        <v>1439572.75000001</v>
      </c>
      <c r="J13" s="51">
        <f>1181184.86000001+101745.899999983</f>
        <v>1282930.759999993</v>
      </c>
      <c r="K13" s="51">
        <f>1188522.29000001+206144.749999959</f>
        <v>1394667.0399999691</v>
      </c>
      <c r="L13" s="51">
        <f>1198348.80000001+137395.070000004</f>
        <v>1335743.8700000141</v>
      </c>
      <c r="M13" s="51">
        <f>1203125.68000001 + 261922.510000004</f>
        <v>1465048.1900000139</v>
      </c>
      <c r="N13" s="51">
        <f>1100706.99000001 + 186825.829999987</f>
        <v>1287532.819999997</v>
      </c>
      <c r="O13" s="51">
        <f>1400739.42000001 + 55740.3399999905</f>
        <v>1456479.7600000005</v>
      </c>
      <c r="P13" s="52">
        <f>1100204.32000001-3359.00000000745</f>
        <v>1096845.3200000026</v>
      </c>
      <c r="Q13" s="52">
        <v>1100652.4100000062</v>
      </c>
      <c r="R13" s="52" t="s">
        <v>17</v>
      </c>
      <c r="S13" s="102">
        <v>13372778.030000011</v>
      </c>
      <c r="T13" s="102">
        <f t="shared" si="1"/>
        <v>0</v>
      </c>
      <c r="U13" s="150">
        <v>-3359.0000000074501</v>
      </c>
    </row>
    <row r="14" spans="1:21" x14ac:dyDescent="0.2">
      <c r="B14" s="51"/>
      <c r="D14" s="53" t="s">
        <v>18</v>
      </c>
      <c r="E14" s="66">
        <f t="shared" si="0"/>
        <v>38350509.569999993</v>
      </c>
      <c r="F14" s="51">
        <v>1002949.3200000003</v>
      </c>
      <c r="G14" s="51">
        <v>1240545.4900000021</v>
      </c>
      <c r="H14" s="51">
        <v>1165836.48</v>
      </c>
      <c r="I14" s="51">
        <v>23739059.34</v>
      </c>
      <c r="J14" s="51">
        <v>1201073.1000000017</v>
      </c>
      <c r="K14" s="51">
        <f>1506288.26+8571.22999998927</f>
        <v>1514859.4899999893</v>
      </c>
      <c r="L14" s="51">
        <f>1042337.96-8329.52999999374</f>
        <v>1034008.4300000062</v>
      </c>
      <c r="M14" s="51">
        <f>1210444.29 + 2502.20999999344</f>
        <v>1212946.4999999935</v>
      </c>
      <c r="N14" s="51">
        <f>1598364.56 + 831.180000014603</f>
        <v>1599195.7400000147</v>
      </c>
      <c r="O14" s="51">
        <f>1511721.94 + 4972.63000000268</f>
        <v>1516694.5700000026</v>
      </c>
      <c r="P14" s="52">
        <f>1484722.51-84096.5700000152</f>
        <v>1400625.9399999848</v>
      </c>
      <c r="Q14" s="52">
        <v>1722715.1700000023</v>
      </c>
      <c r="R14" s="52" t="s">
        <v>18</v>
      </c>
      <c r="S14" s="102">
        <v>38350509.57</v>
      </c>
      <c r="T14" s="102">
        <f t="shared" si="1"/>
        <v>0</v>
      </c>
      <c r="U14" s="150">
        <v>-84096.570000015199</v>
      </c>
    </row>
    <row r="15" spans="1:21" x14ac:dyDescent="0.2">
      <c r="A15" s="67" t="s">
        <v>64</v>
      </c>
      <c r="B15" s="133">
        <f>B6-C6</f>
        <v>59258818.359998226</v>
      </c>
      <c r="C15" s="68">
        <f>B15/$B$6</f>
        <v>4.9452761114790335E-2</v>
      </c>
      <c r="D15" s="53" t="s">
        <v>19</v>
      </c>
      <c r="E15" s="66">
        <f t="shared" si="0"/>
        <v>73228162.079999089</v>
      </c>
      <c r="F15" s="51">
        <v>2454676.0100000035</v>
      </c>
      <c r="G15" s="51">
        <v>5094725.7099999245</v>
      </c>
      <c r="H15" s="51">
        <v>6518955.0399999181</v>
      </c>
      <c r="I15" s="51">
        <v>6465498.1699999105</v>
      </c>
      <c r="J15" s="51">
        <v>6471037.4299999205</v>
      </c>
      <c r="K15" s="51">
        <f>6466505.81999991</f>
        <v>6466505.81999991</v>
      </c>
      <c r="L15" s="51">
        <v>6451359.2199999159</v>
      </c>
      <c r="M15" s="51">
        <v>6421090.7099999096</v>
      </c>
      <c r="N15" s="51">
        <v>6336729.439999911</v>
      </c>
      <c r="O15" s="51">
        <v>7861834.2899999106</v>
      </c>
      <c r="P15" s="52">
        <v>6363706.2699999213</v>
      </c>
      <c r="Q15" s="52">
        <v>6322043.9699999364</v>
      </c>
      <c r="R15" s="52" t="s">
        <v>19</v>
      </c>
      <c r="S15" s="102">
        <v>73228162.079999939</v>
      </c>
      <c r="T15" s="102">
        <f t="shared" si="1"/>
        <v>8.4936618804931641E-7</v>
      </c>
      <c r="U15" s="150">
        <v>8.4936618804931641E-7</v>
      </c>
    </row>
    <row r="16" spans="1:21" x14ac:dyDescent="0.2">
      <c r="A16" s="67" t="s">
        <v>65</v>
      </c>
      <c r="B16" s="133">
        <f>C6</f>
        <v>1139032581.8400018</v>
      </c>
      <c r="C16" s="68">
        <f>B16/$B$6</f>
        <v>0.95054723888520964</v>
      </c>
      <c r="D16" s="53" t="s">
        <v>20</v>
      </c>
      <c r="E16" s="66">
        <f t="shared" si="0"/>
        <v>12706079.689999999</v>
      </c>
      <c r="F16" s="51">
        <v>718711.75999999966</v>
      </c>
      <c r="G16" s="51">
        <v>780007.44000000006</v>
      </c>
      <c r="H16" s="51">
        <v>991974.81</v>
      </c>
      <c r="I16" s="51">
        <f>871693.8+6626.07</f>
        <v>878319.87</v>
      </c>
      <c r="J16" s="51">
        <v>904547.6399999999</v>
      </c>
      <c r="K16" s="51">
        <f>859561.47+3492.99999999906</f>
        <v>863054.46999999904</v>
      </c>
      <c r="L16" s="51">
        <f>889780.25-5069.94999999925</f>
        <v>884710.30000000075</v>
      </c>
      <c r="M16" s="51">
        <f>1623280.75 + 1832.63999999873</f>
        <v>1625113.3899999987</v>
      </c>
      <c r="N16" s="51">
        <v>813502.60000000009</v>
      </c>
      <c r="O16" s="51">
        <f>1484538.55 + 7456.35000000335</f>
        <v>1491994.9000000034</v>
      </c>
      <c r="P16" s="52">
        <f>895339.33-2053.00000000186</f>
        <v>893286.3299999981</v>
      </c>
      <c r="Q16" s="52">
        <v>1860856.1799999997</v>
      </c>
      <c r="R16" s="52" t="s">
        <v>20</v>
      </c>
      <c r="S16" s="102">
        <v>12706079.689999999</v>
      </c>
      <c r="T16" s="102">
        <f t="shared" si="1"/>
        <v>0</v>
      </c>
      <c r="U16" s="150">
        <v>-2053.0000000018599</v>
      </c>
    </row>
    <row r="17" spans="1:21" x14ac:dyDescent="0.2">
      <c r="A17" s="53"/>
      <c r="B17" s="50"/>
      <c r="C17" s="53"/>
      <c r="D17" s="69" t="s">
        <v>66</v>
      </c>
      <c r="E17" s="66">
        <f t="shared" si="0"/>
        <v>103535128.32999994</v>
      </c>
      <c r="F17" s="51">
        <v>7924251.5300000161</v>
      </c>
      <c r="G17" s="51">
        <f>7937435.74999999</f>
        <v>7937435.7499999898</v>
      </c>
      <c r="H17" s="51">
        <v>8472873.05999998</v>
      </c>
      <c r="I17" s="51">
        <f>7638733.35999998+120003.81</f>
        <v>7758737.1699999794</v>
      </c>
      <c r="J17" s="51">
        <f>10022565.4+88314.9600001127</f>
        <v>10110880.360000113</v>
      </c>
      <c r="K17" s="51">
        <f>8225416.06999997+131165.279999994</f>
        <v>8356581.3499999633</v>
      </c>
      <c r="L17" s="51">
        <f>8308551.51999997+89792.4899999723</f>
        <v>8398344.009999942</v>
      </c>
      <c r="M17" s="51">
        <f>7843484.06999999 + 11029.9800000041</f>
        <v>7854514.0499999942</v>
      </c>
      <c r="N17" s="51">
        <f>7309665.05999997 + 220700.069999978</f>
        <v>7530365.1299999477</v>
      </c>
      <c r="O17" s="51">
        <v>10419631.669999946</v>
      </c>
      <c r="P17" s="52">
        <f>8387149.59+280580.730000079</f>
        <v>8667730.3200000785</v>
      </c>
      <c r="Q17" s="52">
        <v>10103783.929999972</v>
      </c>
      <c r="R17" s="52" t="s">
        <v>21</v>
      </c>
      <c r="S17" s="102">
        <v>103535128.32999994</v>
      </c>
      <c r="T17" s="102">
        <f t="shared" si="1"/>
        <v>0</v>
      </c>
      <c r="U17" s="150">
        <v>280580.73000007903</v>
      </c>
    </row>
    <row r="18" spans="1:21" x14ac:dyDescent="0.2">
      <c r="B18" s="70"/>
      <c r="C18" s="53"/>
      <c r="D18" s="53" t="s">
        <v>22</v>
      </c>
      <c r="E18" s="66">
        <f t="shared" si="0"/>
        <v>56851264.010000005</v>
      </c>
      <c r="F18" s="51">
        <v>1406851.1900000002</v>
      </c>
      <c r="G18" s="51">
        <v>1447543.3200000005</v>
      </c>
      <c r="H18" s="51">
        <v>5231865.9799999995</v>
      </c>
      <c r="I18" s="51">
        <f>4557771.91+9248.08</f>
        <v>4567019.99</v>
      </c>
      <c r="J18" s="51">
        <f>5470664.25+2099.26000000163</f>
        <v>5472763.5100000016</v>
      </c>
      <c r="K18" s="51">
        <f>5232081.66 + 1626.28000000864</f>
        <v>5233707.9400000088</v>
      </c>
      <c r="L18" s="51">
        <f>4730821.24+8806.83000000566</f>
        <v>4739628.0700000059</v>
      </c>
      <c r="M18" s="51">
        <v>5949485.6699999999</v>
      </c>
      <c r="N18" s="51">
        <f>4830556.97 + 20397.8399999812</f>
        <v>4850954.809999981</v>
      </c>
      <c r="O18" s="51">
        <f>7360970.01 + 776.050000026822</f>
        <v>7361746.0600000266</v>
      </c>
      <c r="P18" s="52">
        <f>5339356.97-1279.48000001162</f>
        <v>5338077.4899999881</v>
      </c>
      <c r="Q18" s="52">
        <v>5251619.9800000004</v>
      </c>
      <c r="R18" s="52" t="s">
        <v>22</v>
      </c>
      <c r="S18" s="102">
        <v>56851264.010000013</v>
      </c>
      <c r="T18" s="102">
        <f t="shared" si="1"/>
        <v>0</v>
      </c>
      <c r="U18" s="150">
        <v>-1279.4800000116199</v>
      </c>
    </row>
    <row r="19" spans="1:21" x14ac:dyDescent="0.2">
      <c r="A19" s="53"/>
      <c r="B19" s="50"/>
      <c r="C19" s="53"/>
      <c r="D19" s="53" t="s">
        <v>23</v>
      </c>
      <c r="E19" s="66">
        <f t="shared" si="0"/>
        <v>22382206.799999993</v>
      </c>
      <c r="F19" s="51">
        <v>1601659.7399999993</v>
      </c>
      <c r="G19" s="51">
        <f>1602728.13</f>
        <v>1602728.13</v>
      </c>
      <c r="H19" s="51">
        <v>1701947.28</v>
      </c>
      <c r="I19" s="51">
        <f>1718964.16+1211.45</f>
        <v>1720175.6099999999</v>
      </c>
      <c r="J19" s="51">
        <f>1680278.86+2289.4699999988</f>
        <v>1682568.3299999989</v>
      </c>
      <c r="K19" s="51">
        <f>1738477.87 + 8612.98000000603</f>
        <v>1747090.8500000061</v>
      </c>
      <c r="L19" s="51">
        <f>1983640.66+13335.3400000184</f>
        <v>1996976.0000000184</v>
      </c>
      <c r="M19" s="51">
        <f>1790923.78 + 4927.53999997861</f>
        <v>1795851.3199999786</v>
      </c>
      <c r="N19" s="51">
        <f>1738795.73 + 8797.4499999918</f>
        <v>1747593.1799999918</v>
      </c>
      <c r="O19" s="51">
        <f>2300991.22 + 7636.07000001519</f>
        <v>2308627.2900000154</v>
      </c>
      <c r="P19" s="52">
        <f>2031146.25-2011.13000001385</f>
        <v>2029135.1199999861</v>
      </c>
      <c r="Q19" s="52">
        <v>2447853.9500000007</v>
      </c>
      <c r="R19" s="52" t="s">
        <v>23</v>
      </c>
      <c r="S19" s="102">
        <v>22382206.799999997</v>
      </c>
      <c r="T19" s="102">
        <f t="shared" si="1"/>
        <v>0</v>
      </c>
      <c r="U19" s="150">
        <v>-2011.1300000138499</v>
      </c>
    </row>
    <row r="20" spans="1:21" x14ac:dyDescent="0.2">
      <c r="A20" s="53"/>
      <c r="B20" s="50"/>
      <c r="C20" s="53"/>
      <c r="D20" s="53" t="s">
        <v>24</v>
      </c>
      <c r="E20" s="66">
        <f t="shared" si="0"/>
        <v>1207979.44</v>
      </c>
      <c r="F20" s="51">
        <v>5469.4100000000035</v>
      </c>
      <c r="G20" s="51">
        <v>126122.13999999998</v>
      </c>
      <c r="H20" s="51">
        <v>99325.8</v>
      </c>
      <c r="I20" s="51">
        <v>86985.56</v>
      </c>
      <c r="J20" s="51">
        <v>94498.07</v>
      </c>
      <c r="K20" s="51">
        <v>102656.89</v>
      </c>
      <c r="L20" s="51">
        <v>73752.58</v>
      </c>
      <c r="M20" s="51">
        <v>98351.900000000009</v>
      </c>
      <c r="N20" s="51">
        <v>90348.65</v>
      </c>
      <c r="O20" s="51">
        <v>331849.84000000003</v>
      </c>
      <c r="P20" s="52">
        <f>81435.92-14371</f>
        <v>67064.92</v>
      </c>
      <c r="Q20" s="52">
        <v>31553.68</v>
      </c>
      <c r="R20" s="52" t="s">
        <v>24</v>
      </c>
      <c r="S20" s="102">
        <v>1207979.44</v>
      </c>
      <c r="T20" s="102">
        <f t="shared" si="1"/>
        <v>0</v>
      </c>
      <c r="U20" s="150">
        <v>-14371</v>
      </c>
    </row>
    <row r="21" spans="1:21" x14ac:dyDescent="0.2">
      <c r="A21" s="53"/>
      <c r="B21" s="50"/>
      <c r="C21" s="53"/>
      <c r="D21" s="53" t="s">
        <v>31</v>
      </c>
      <c r="E21" s="66"/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2">
        <v>0</v>
      </c>
      <c r="Q21" s="52">
        <v>0</v>
      </c>
      <c r="R21" s="52" t="s">
        <v>31</v>
      </c>
      <c r="S21" s="102">
        <v>0</v>
      </c>
      <c r="T21" s="102">
        <f t="shared" si="1"/>
        <v>0</v>
      </c>
      <c r="U21" s="150">
        <v>0</v>
      </c>
    </row>
    <row r="22" spans="1:21" x14ac:dyDescent="0.2">
      <c r="A22" s="53"/>
      <c r="B22" s="50"/>
      <c r="C22" s="53"/>
      <c r="D22" s="53" t="s">
        <v>26</v>
      </c>
      <c r="E22" s="66">
        <f t="shared" si="0"/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2">
        <v>0</v>
      </c>
      <c r="Q22" s="52">
        <v>0</v>
      </c>
      <c r="R22" s="52" t="s">
        <v>26</v>
      </c>
      <c r="S22" s="102">
        <v>0</v>
      </c>
      <c r="T22" s="102">
        <f t="shared" si="1"/>
        <v>0</v>
      </c>
      <c r="U22" s="150">
        <v>0</v>
      </c>
    </row>
    <row r="23" spans="1:21" ht="13.5" thickBot="1" x14ac:dyDescent="0.25">
      <c r="A23" s="53"/>
      <c r="B23" s="50"/>
      <c r="C23" s="53"/>
      <c r="D23" s="53" t="s">
        <v>25</v>
      </c>
      <c r="E23" s="71">
        <f t="shared" si="0"/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2">
        <v>0</v>
      </c>
      <c r="Q23" s="52">
        <v>0</v>
      </c>
      <c r="R23" s="52" t="s">
        <v>25</v>
      </c>
      <c r="S23" s="102">
        <v>0</v>
      </c>
      <c r="T23" s="102">
        <f t="shared" si="1"/>
        <v>0</v>
      </c>
      <c r="U23" s="150">
        <v>0</v>
      </c>
    </row>
    <row r="24" spans="1:21" ht="13.5" thickBot="1" x14ac:dyDescent="0.25">
      <c r="A24" s="53"/>
      <c r="B24" s="50"/>
      <c r="C24" s="53"/>
      <c r="D24" s="72" t="s">
        <v>67</v>
      </c>
      <c r="E24" s="73">
        <f>SUM(E9:E23)</f>
        <v>1139032581.8400021</v>
      </c>
      <c r="F24" s="74">
        <f>SUM(F9:F23)</f>
        <v>21712733.540000025</v>
      </c>
      <c r="G24" s="75">
        <f t="shared" ref="G24:Q24" si="2">SUM(G9:G23)</f>
        <v>29728095.149999719</v>
      </c>
      <c r="H24" s="75">
        <f t="shared" si="2"/>
        <v>104424294.87000141</v>
      </c>
      <c r="I24" s="75">
        <f t="shared" si="2"/>
        <v>129355479.56000131</v>
      </c>
      <c r="J24" s="75">
        <f t="shared" si="2"/>
        <v>106720824.929998</v>
      </c>
      <c r="K24" s="75">
        <f t="shared" si="2"/>
        <v>103016597.7399969</v>
      </c>
      <c r="L24" s="75">
        <f t="shared" si="2"/>
        <v>101942483.12000223</v>
      </c>
      <c r="M24" s="75">
        <f t="shared" si="2"/>
        <v>104051595.5400006</v>
      </c>
      <c r="N24" s="75">
        <f t="shared" si="2"/>
        <v>102226464.56000009</v>
      </c>
      <c r="O24" s="75">
        <f t="shared" si="2"/>
        <v>127624688.73999983</v>
      </c>
      <c r="P24" s="75">
        <f t="shared" si="2"/>
        <v>103736435.78000019</v>
      </c>
      <c r="Q24" s="75">
        <f t="shared" si="2"/>
        <v>104492888.31000152</v>
      </c>
      <c r="S24" s="130">
        <f>SUM(S9:S23)</f>
        <v>1139032581.8400028</v>
      </c>
      <c r="T24" s="130">
        <f t="shared" ref="T24:U24" si="3">SUM(T9:T23)</f>
        <v>8.4936618804931641E-7</v>
      </c>
      <c r="U24" s="151">
        <f t="shared" si="3"/>
        <v>-827332.09000034269</v>
      </c>
    </row>
    <row r="25" spans="1:21" x14ac:dyDescent="0.2">
      <c r="A25" s="53"/>
      <c r="B25" s="50"/>
      <c r="C25" s="53"/>
      <c r="D25" s="53"/>
      <c r="E25" s="53"/>
      <c r="F25" s="50"/>
      <c r="G25" s="50"/>
    </row>
    <row r="26" spans="1:21" ht="29.25" customHeight="1" x14ac:dyDescent="0.2">
      <c r="A26" s="11"/>
      <c r="B26" s="167" t="s">
        <v>79</v>
      </c>
      <c r="C26" s="167"/>
      <c r="D26" s="167"/>
      <c r="E26" s="167"/>
      <c r="F26" s="167"/>
      <c r="G26" s="76"/>
    </row>
    <row r="27" spans="1:21" x14ac:dyDescent="0.2">
      <c r="A27" s="53"/>
      <c r="B27" s="50"/>
      <c r="C27" s="53"/>
      <c r="D27" s="53"/>
      <c r="E27" s="135"/>
      <c r="F27" s="50"/>
      <c r="G27" s="50"/>
    </row>
    <row r="28" spans="1:21" ht="29.25" customHeight="1" x14ac:dyDescent="0.2">
      <c r="B28" s="167" t="str">
        <f>"GENERAL OPERATIONS" &amp; " YTD EXPENSES"&amp;CHAR(10)&amp;TEXT(C6,"$#,##0")</f>
        <v>GENERAL OPERATIONS YTD EXPENSES
$1,139,032,582</v>
      </c>
      <c r="C28" s="167"/>
      <c r="D28" s="167"/>
      <c r="E28" s="167"/>
      <c r="F28" s="167"/>
      <c r="G28" s="76"/>
      <c r="H28" s="134" t="s">
        <v>80</v>
      </c>
    </row>
    <row r="29" spans="1:21" x14ac:dyDescent="0.2">
      <c r="A29" s="53"/>
      <c r="B29" s="50"/>
      <c r="C29" s="53"/>
      <c r="D29" s="53"/>
      <c r="E29" s="53"/>
      <c r="F29" s="50"/>
      <c r="G29" s="50"/>
    </row>
    <row r="30" spans="1:21" x14ac:dyDescent="0.2">
      <c r="A30" s="53"/>
      <c r="B30" s="50">
        <v>1197491160.8699994</v>
      </c>
      <c r="C30" s="53">
        <v>1139032581.8400021</v>
      </c>
      <c r="D30" s="53"/>
      <c r="E30" s="53"/>
      <c r="F30" s="50"/>
      <c r="G30" s="50"/>
    </row>
    <row r="31" spans="1:21" x14ac:dyDescent="0.2">
      <c r="A31" s="53"/>
      <c r="B31" s="50"/>
      <c r="C31" s="53"/>
      <c r="D31" s="53"/>
      <c r="E31" s="50"/>
      <c r="F31" s="50"/>
      <c r="G31" s="50"/>
    </row>
    <row r="32" spans="1:21" x14ac:dyDescent="0.2">
      <c r="A32" s="77"/>
      <c r="B32" s="78"/>
      <c r="C32" s="77"/>
      <c r="D32" s="77"/>
      <c r="E32" s="77"/>
      <c r="F32" s="78"/>
      <c r="G32" s="78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80"/>
    </row>
    <row r="33" spans="1:21" x14ac:dyDescent="0.2">
      <c r="A33" s="53"/>
      <c r="B33" s="50"/>
      <c r="C33" s="53"/>
      <c r="D33" s="53"/>
      <c r="E33" s="53"/>
      <c r="F33" s="50"/>
      <c r="G33" s="50"/>
    </row>
    <row r="34" spans="1:21" x14ac:dyDescent="0.2">
      <c r="A34" s="53"/>
      <c r="B34" s="50"/>
      <c r="C34" s="53"/>
      <c r="D34" s="53"/>
      <c r="E34" s="53"/>
      <c r="F34" s="50"/>
      <c r="G34" s="50"/>
    </row>
    <row r="35" spans="1:21" ht="13.5" thickBot="1" x14ac:dyDescent="0.25"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1:21" ht="13.5" thickBot="1" x14ac:dyDescent="0.25">
      <c r="A36" s="168" t="s">
        <v>68</v>
      </c>
      <c r="B36" s="169"/>
      <c r="C36" s="169"/>
      <c r="D36" s="169"/>
      <c r="E36" s="169"/>
      <c r="F36" s="170"/>
      <c r="G36" s="53"/>
      <c r="H36" s="52"/>
      <c r="I36" s="52"/>
      <c r="J36" s="52"/>
      <c r="K36" s="52"/>
      <c r="L36" s="52"/>
      <c r="M36" s="52"/>
      <c r="N36" s="52"/>
      <c r="O36" s="52"/>
      <c r="P36" s="52"/>
      <c r="Q36" s="52"/>
    </row>
    <row r="37" spans="1:21" ht="13.5" thickBot="1" x14ac:dyDescent="0.25">
      <c r="B37" s="51"/>
      <c r="D37" s="53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</row>
    <row r="38" spans="1:21" ht="26.25" thickBot="1" x14ac:dyDescent="0.25">
      <c r="B38" s="81" t="s">
        <v>69</v>
      </c>
      <c r="C38" s="82" t="s">
        <v>70</v>
      </c>
      <c r="D38" s="83" t="s">
        <v>71</v>
      </c>
      <c r="E38" s="84" t="s">
        <v>52</v>
      </c>
      <c r="F38" s="85" t="s">
        <v>53</v>
      </c>
      <c r="G38" s="85" t="s">
        <v>54</v>
      </c>
      <c r="H38" s="85" t="s">
        <v>55</v>
      </c>
      <c r="I38" s="85" t="s">
        <v>56</v>
      </c>
      <c r="J38" s="85" t="s">
        <v>57</v>
      </c>
      <c r="K38" s="85" t="s">
        <v>58</v>
      </c>
      <c r="L38" s="85" t="s">
        <v>59</v>
      </c>
      <c r="M38" s="85" t="s">
        <v>60</v>
      </c>
      <c r="N38" s="85" t="s">
        <v>61</v>
      </c>
      <c r="O38" s="85" t="s">
        <v>62</v>
      </c>
      <c r="P38" s="86" t="s">
        <v>63</v>
      </c>
      <c r="Q38" s="52"/>
      <c r="R38" s="87"/>
      <c r="S38" s="136"/>
      <c r="T38" s="136"/>
    </row>
    <row r="39" spans="1:21" s="87" customFormat="1" x14ac:dyDescent="0.2">
      <c r="A39" s="87" t="s">
        <v>8</v>
      </c>
      <c r="B39" s="88">
        <v>682980802</v>
      </c>
      <c r="C39" s="89">
        <f>SUM(E39:P39)</f>
        <v>703355698.65000021</v>
      </c>
      <c r="D39" s="90">
        <f>C39/B39</f>
        <v>1.0298323124022455</v>
      </c>
      <c r="E39" s="137">
        <v>578132.51999999862</v>
      </c>
      <c r="F39" s="137">
        <v>8379713.1200000001</v>
      </c>
      <c r="G39" s="137">
        <v>60945747.329999998</v>
      </c>
      <c r="H39" s="137">
        <v>316229104.64000005</v>
      </c>
      <c r="I39" s="137">
        <v>221703881.06000003</v>
      </c>
      <c r="J39" s="137">
        <v>35717045.660000004</v>
      </c>
      <c r="K39" s="137">
        <v>12879542.820000002</v>
      </c>
      <c r="L39" s="137">
        <v>14338932.199999997</v>
      </c>
      <c r="M39" s="137">
        <v>8689312.1600000001</v>
      </c>
      <c r="N39" s="137">
        <v>6955253.9399999995</v>
      </c>
      <c r="O39" s="137">
        <v>8517723.7400000021</v>
      </c>
      <c r="P39" s="137">
        <v>8421309.4599999972</v>
      </c>
      <c r="R39" s="144"/>
      <c r="S39" s="148">
        <v>703355698.64999986</v>
      </c>
      <c r="T39" s="149">
        <f>S39-C39</f>
        <v>0</v>
      </c>
      <c r="U39" s="152"/>
    </row>
    <row r="40" spans="1:21" s="87" customFormat="1" x14ac:dyDescent="0.2">
      <c r="A40" s="87" t="s">
        <v>9</v>
      </c>
      <c r="B40" s="91">
        <v>90000</v>
      </c>
      <c r="C40" s="92">
        <f>SUM(E40:P40)</f>
        <v>348503.86</v>
      </c>
      <c r="D40" s="93">
        <f>C40/B40</f>
        <v>3.872265111111111</v>
      </c>
      <c r="E40" s="138">
        <v>1446.13</v>
      </c>
      <c r="F40" s="138">
        <v>140.91999999999999</v>
      </c>
      <c r="G40" s="138">
        <v>0</v>
      </c>
      <c r="H40" s="138">
        <v>5485.17</v>
      </c>
      <c r="I40" s="138">
        <v>9488.1</v>
      </c>
      <c r="J40" s="138">
        <v>14340.15</v>
      </c>
      <c r="K40" s="138">
        <v>15266.87</v>
      </c>
      <c r="L40" s="138">
        <v>16842.75</v>
      </c>
      <c r="M40" s="138">
        <v>32478.65</v>
      </c>
      <c r="N40" s="138">
        <v>46371</v>
      </c>
      <c r="O40" s="138">
        <v>81569.77</v>
      </c>
      <c r="P40" s="138">
        <v>125074.35</v>
      </c>
      <c r="R40" s="144"/>
      <c r="S40" s="148">
        <v>348503.86</v>
      </c>
      <c r="T40" s="149">
        <f t="shared" ref="T40:T42" si="4">S40-C40</f>
        <v>0</v>
      </c>
      <c r="U40" s="152"/>
    </row>
    <row r="41" spans="1:21" s="87" customFormat="1" x14ac:dyDescent="0.2">
      <c r="A41" s="87" t="s">
        <v>10</v>
      </c>
      <c r="B41" s="91">
        <v>537945677.53000009</v>
      </c>
      <c r="C41" s="92">
        <f>SUM(E41:P41)</f>
        <v>527374639.91000003</v>
      </c>
      <c r="D41" s="93">
        <f>C41/B41</f>
        <v>0.98034924703078308</v>
      </c>
      <c r="E41" s="138">
        <v>5552178.3999999985</v>
      </c>
      <c r="F41" s="138">
        <v>4320329.0099999979</v>
      </c>
      <c r="G41" s="138">
        <v>47963122</v>
      </c>
      <c r="H41" s="138">
        <v>47967720</v>
      </c>
      <c r="I41" s="138">
        <v>48766366.320000008</v>
      </c>
      <c r="J41" s="138">
        <v>47887975.25</v>
      </c>
      <c r="K41" s="138">
        <v>48188041.649999999</v>
      </c>
      <c r="L41" s="138">
        <v>47861420</v>
      </c>
      <c r="M41" s="138">
        <v>48204906.259999998</v>
      </c>
      <c r="N41" s="138">
        <v>74747109.460000023</v>
      </c>
      <c r="O41" s="138">
        <v>52673790.25</v>
      </c>
      <c r="P41" s="138">
        <v>53241681.310000002</v>
      </c>
      <c r="R41" s="144"/>
      <c r="S41" s="148">
        <v>527374639.91000003</v>
      </c>
      <c r="T41" s="149">
        <f t="shared" si="4"/>
        <v>0</v>
      </c>
      <c r="U41" s="152"/>
    </row>
    <row r="42" spans="1:21" s="87" customFormat="1" ht="13.5" thickBot="1" x14ac:dyDescent="0.25">
      <c r="A42" s="87" t="s">
        <v>11</v>
      </c>
      <c r="B42" s="94">
        <v>1448256</v>
      </c>
      <c r="C42" s="92">
        <f>SUM(E42:P42)</f>
        <v>129053.03</v>
      </c>
      <c r="D42" s="95">
        <f>C42/B42</f>
        <v>8.9109266593751374E-2</v>
      </c>
      <c r="E42" s="139">
        <v>150</v>
      </c>
      <c r="F42" s="139">
        <v>5518</v>
      </c>
      <c r="G42" s="139">
        <v>3812</v>
      </c>
      <c r="H42" s="139">
        <v>0</v>
      </c>
      <c r="I42" s="139">
        <v>0</v>
      </c>
      <c r="J42" s="139">
        <v>58029.279999999999</v>
      </c>
      <c r="K42" s="139">
        <v>1817.85</v>
      </c>
      <c r="L42" s="139">
        <v>0</v>
      </c>
      <c r="M42" s="139">
        <v>86</v>
      </c>
      <c r="N42" s="139">
        <v>59522.9</v>
      </c>
      <c r="O42" s="139">
        <v>112.5</v>
      </c>
      <c r="P42" s="139">
        <v>4.5</v>
      </c>
      <c r="R42" s="145"/>
      <c r="S42" s="148">
        <v>129053.03</v>
      </c>
      <c r="T42" s="149">
        <f t="shared" si="4"/>
        <v>0</v>
      </c>
      <c r="U42" s="152"/>
    </row>
    <row r="43" spans="1:21" s="96" customFormat="1" ht="12.75" customHeight="1" thickBot="1" x14ac:dyDescent="0.25">
      <c r="B43" s="97">
        <f>SUM(B39:B42)</f>
        <v>1222464735.5300002</v>
      </c>
      <c r="C43" s="98">
        <f>SUM(C39:C42)</f>
        <v>1231207895.4500003</v>
      </c>
      <c r="D43" s="99">
        <f>C43/B43</f>
        <v>1.0071520753653556</v>
      </c>
      <c r="E43" s="100">
        <f>SUM(E39:E42)</f>
        <v>6131907.049999997</v>
      </c>
      <c r="F43" s="101">
        <f t="shared" ref="F43:P43" si="5">SUM(F39:F42)</f>
        <v>12705701.049999997</v>
      </c>
      <c r="G43" s="101">
        <f t="shared" si="5"/>
        <v>108912681.33</v>
      </c>
      <c r="H43" s="101">
        <f t="shared" si="5"/>
        <v>364202309.81000006</v>
      </c>
      <c r="I43" s="101">
        <f t="shared" si="5"/>
        <v>270479735.48000002</v>
      </c>
      <c r="J43" s="101">
        <f t="shared" si="5"/>
        <v>83677390.340000004</v>
      </c>
      <c r="K43" s="101">
        <f t="shared" si="5"/>
        <v>61084669.190000005</v>
      </c>
      <c r="L43" s="101">
        <f t="shared" si="5"/>
        <v>62217194.949999996</v>
      </c>
      <c r="M43" s="101">
        <f t="shared" si="5"/>
        <v>56926783.07</v>
      </c>
      <c r="N43" s="101">
        <f t="shared" si="5"/>
        <v>81808257.300000027</v>
      </c>
      <c r="O43" s="101">
        <f t="shared" si="5"/>
        <v>61273196.260000005</v>
      </c>
      <c r="P43" s="101">
        <f t="shared" si="5"/>
        <v>61788069.619999997</v>
      </c>
      <c r="Q43" s="52"/>
      <c r="R43" s="51"/>
      <c r="S43" s="102"/>
      <c r="T43" s="102"/>
      <c r="U43" s="153"/>
    </row>
    <row r="44" spans="1:21" ht="13.5" thickBot="1" x14ac:dyDescent="0.25">
      <c r="B44" s="51"/>
      <c r="C44" s="102"/>
      <c r="E44" s="51"/>
      <c r="L44" s="52"/>
      <c r="M44" s="52"/>
      <c r="N44" s="52"/>
      <c r="O44" s="52"/>
      <c r="P44" s="52"/>
      <c r="Q44" s="52"/>
    </row>
    <row r="45" spans="1:21" s="96" customFormat="1" ht="12.75" customHeight="1" x14ac:dyDescent="0.2">
      <c r="A45" s="103" t="s">
        <v>72</v>
      </c>
      <c r="B45" s="104">
        <f>+B39+B40+B42</f>
        <v>684519058</v>
      </c>
      <c r="C45" s="89">
        <f>+C39+C40+C42</f>
        <v>703833255.5400002</v>
      </c>
      <c r="D45" s="105">
        <f>C45/B45</f>
        <v>1.0282157192181496</v>
      </c>
      <c r="E45" s="106">
        <f>+E39+E40+E42</f>
        <v>579728.64999999863</v>
      </c>
      <c r="F45" s="106">
        <f t="shared" ref="F45:P45" si="6">+F39+F40+F42</f>
        <v>8385372.04</v>
      </c>
      <c r="G45" s="106">
        <f t="shared" si="6"/>
        <v>60949559.329999998</v>
      </c>
      <c r="H45" s="106">
        <f t="shared" si="6"/>
        <v>316234589.81000006</v>
      </c>
      <c r="I45" s="106">
        <f t="shared" si="6"/>
        <v>221713369.16000003</v>
      </c>
      <c r="J45" s="106">
        <f t="shared" si="6"/>
        <v>35789415.090000004</v>
      </c>
      <c r="K45" s="106">
        <f t="shared" si="6"/>
        <v>12896627.540000001</v>
      </c>
      <c r="L45" s="106">
        <f t="shared" si="6"/>
        <v>14355774.949999997</v>
      </c>
      <c r="M45" s="106">
        <f t="shared" si="6"/>
        <v>8721876.8100000005</v>
      </c>
      <c r="N45" s="106">
        <f t="shared" si="6"/>
        <v>7061147.8399999999</v>
      </c>
      <c r="O45" s="106">
        <f t="shared" si="6"/>
        <v>8599406.0100000016</v>
      </c>
      <c r="P45" s="106">
        <f t="shared" si="6"/>
        <v>8546388.3099999968</v>
      </c>
      <c r="Q45" s="52"/>
      <c r="R45" s="52"/>
      <c r="S45" s="102"/>
      <c r="T45" s="102"/>
      <c r="U45" s="153"/>
    </row>
    <row r="46" spans="1:21" s="96" customFormat="1" ht="12.75" customHeight="1" thickBot="1" x14ac:dyDescent="0.25">
      <c r="A46" s="103" t="s">
        <v>73</v>
      </c>
      <c r="B46" s="107">
        <f>B41</f>
        <v>537945677.53000009</v>
      </c>
      <c r="C46" s="108">
        <f>C70</f>
        <v>527374639.91000003</v>
      </c>
      <c r="D46" s="109">
        <f>C46/B46</f>
        <v>0.98034924703078308</v>
      </c>
      <c r="E46" s="110">
        <f>E41</f>
        <v>5552178.3999999985</v>
      </c>
      <c r="F46" s="110">
        <f t="shared" ref="F46:P46" si="7">F41</f>
        <v>4320329.0099999979</v>
      </c>
      <c r="G46" s="110">
        <f t="shared" si="7"/>
        <v>47963122</v>
      </c>
      <c r="H46" s="110">
        <f t="shared" si="7"/>
        <v>47967720</v>
      </c>
      <c r="I46" s="110">
        <f t="shared" si="7"/>
        <v>48766366.320000008</v>
      </c>
      <c r="J46" s="110">
        <f t="shared" si="7"/>
        <v>47887975.25</v>
      </c>
      <c r="K46" s="110">
        <f t="shared" si="7"/>
        <v>48188041.649999999</v>
      </c>
      <c r="L46" s="110">
        <f t="shared" si="7"/>
        <v>47861420</v>
      </c>
      <c r="M46" s="110">
        <f t="shared" si="7"/>
        <v>48204906.259999998</v>
      </c>
      <c r="N46" s="110">
        <f t="shared" si="7"/>
        <v>74747109.460000023</v>
      </c>
      <c r="O46" s="110">
        <f t="shared" si="7"/>
        <v>52673790.25</v>
      </c>
      <c r="P46" s="110">
        <f t="shared" si="7"/>
        <v>53241681.310000002</v>
      </c>
      <c r="Q46" s="52"/>
      <c r="R46" s="52"/>
      <c r="S46" s="102"/>
      <c r="T46" s="102"/>
      <c r="U46" s="153"/>
    </row>
    <row r="47" spans="1:21" s="96" customFormat="1" ht="12.75" customHeight="1" thickBot="1" x14ac:dyDescent="0.25">
      <c r="B47" s="97">
        <f>SUM(B45:B46)</f>
        <v>1222464735.5300002</v>
      </c>
      <c r="C47" s="111">
        <f>SUM(E47:P47)</f>
        <v>1231207895.45</v>
      </c>
      <c r="D47" s="112">
        <f>C47/B47</f>
        <v>1.0071520753653553</v>
      </c>
      <c r="E47" s="113">
        <f>+E45+E46</f>
        <v>6131907.049999997</v>
      </c>
      <c r="F47" s="114">
        <f t="shared" ref="F47:P47" si="8">+F45+F46</f>
        <v>12705701.049999997</v>
      </c>
      <c r="G47" s="114">
        <f t="shared" si="8"/>
        <v>108912681.33</v>
      </c>
      <c r="H47" s="114">
        <f t="shared" si="8"/>
        <v>364202309.81000006</v>
      </c>
      <c r="I47" s="114">
        <f t="shared" si="8"/>
        <v>270479735.48000002</v>
      </c>
      <c r="J47" s="114">
        <f t="shared" si="8"/>
        <v>83677390.340000004</v>
      </c>
      <c r="K47" s="114">
        <f t="shared" si="8"/>
        <v>61084669.189999998</v>
      </c>
      <c r="L47" s="114">
        <f t="shared" si="8"/>
        <v>62217194.949999996</v>
      </c>
      <c r="M47" s="114">
        <f t="shared" si="8"/>
        <v>56926783.07</v>
      </c>
      <c r="N47" s="114">
        <f t="shared" si="8"/>
        <v>81808257.300000027</v>
      </c>
      <c r="O47" s="114">
        <f t="shared" si="8"/>
        <v>61273196.260000005</v>
      </c>
      <c r="P47" s="115">
        <f t="shared" si="8"/>
        <v>61788069.619999997</v>
      </c>
      <c r="Q47" s="52"/>
      <c r="R47" s="52"/>
      <c r="S47" s="102"/>
      <c r="T47" s="102"/>
      <c r="U47" s="153"/>
    </row>
    <row r="48" spans="1:21" s="96" customFormat="1" ht="12.75" customHeight="1" thickBot="1" x14ac:dyDescent="0.25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102"/>
      <c r="T48" s="102"/>
      <c r="U48" s="153"/>
    </row>
    <row r="49" spans="1:21" s="96" customFormat="1" ht="12.75" customHeight="1" thickBot="1" x14ac:dyDescent="0.25">
      <c r="C49" s="160" t="s">
        <v>74</v>
      </c>
      <c r="D49" s="161"/>
      <c r="E49" s="116" t="s">
        <v>52</v>
      </c>
      <c r="F49" s="117" t="s">
        <v>53</v>
      </c>
      <c r="G49" s="117" t="s">
        <v>54</v>
      </c>
      <c r="H49" s="117" t="s">
        <v>55</v>
      </c>
      <c r="I49" s="117" t="s">
        <v>56</v>
      </c>
      <c r="J49" s="117" t="s">
        <v>57</v>
      </c>
      <c r="K49" s="117" t="s">
        <v>58</v>
      </c>
      <c r="L49" s="117" t="s">
        <v>59</v>
      </c>
      <c r="M49" s="117" t="s">
        <v>60</v>
      </c>
      <c r="N49" s="117" t="s">
        <v>61</v>
      </c>
      <c r="O49" s="117" t="s">
        <v>62</v>
      </c>
      <c r="P49" s="55" t="s">
        <v>63</v>
      </c>
      <c r="Q49" s="52"/>
      <c r="R49" s="52"/>
      <c r="S49" s="102"/>
      <c r="T49" s="102"/>
      <c r="U49" s="153"/>
    </row>
    <row r="50" spans="1:21" s="96" customFormat="1" ht="12.75" customHeight="1" x14ac:dyDescent="0.2">
      <c r="C50" s="118" t="s">
        <v>72</v>
      </c>
      <c r="D50" s="52"/>
      <c r="E50" s="51">
        <f>E45</f>
        <v>579728.64999999863</v>
      </c>
      <c r="F50" s="51">
        <f>E50+F45</f>
        <v>8965100.6899999995</v>
      </c>
      <c r="G50" s="51">
        <f t="shared" ref="G50:P51" si="9">F50+G45</f>
        <v>69914660.019999996</v>
      </c>
      <c r="H50" s="51">
        <f t="shared" si="9"/>
        <v>386149249.83000004</v>
      </c>
      <c r="I50" s="51">
        <f t="shared" si="9"/>
        <v>607862618.99000001</v>
      </c>
      <c r="J50" s="51">
        <f t="shared" si="9"/>
        <v>643652034.08000004</v>
      </c>
      <c r="K50" s="51">
        <f t="shared" si="9"/>
        <v>656548661.62</v>
      </c>
      <c r="L50" s="51">
        <f t="shared" si="9"/>
        <v>670904436.57000005</v>
      </c>
      <c r="M50" s="51">
        <f t="shared" si="9"/>
        <v>679626313.38</v>
      </c>
      <c r="N50" s="51">
        <f t="shared" si="9"/>
        <v>686687461.22000003</v>
      </c>
      <c r="O50" s="51">
        <f t="shared" si="9"/>
        <v>695286867.23000002</v>
      </c>
      <c r="P50" s="51">
        <f t="shared" si="9"/>
        <v>703833255.53999996</v>
      </c>
      <c r="Q50" s="52"/>
      <c r="R50" s="52"/>
      <c r="S50" s="102"/>
      <c r="T50" s="102"/>
      <c r="U50" s="153"/>
    </row>
    <row r="51" spans="1:21" s="96" customFormat="1" ht="12.75" customHeight="1" thickBot="1" x14ac:dyDescent="0.25">
      <c r="C51" s="118" t="s">
        <v>73</v>
      </c>
      <c r="D51" s="52"/>
      <c r="E51" s="51">
        <f>E46</f>
        <v>5552178.3999999985</v>
      </c>
      <c r="F51" s="51">
        <f>E51+F46</f>
        <v>9872507.4099999964</v>
      </c>
      <c r="G51" s="51">
        <f t="shared" si="9"/>
        <v>57835629.409999996</v>
      </c>
      <c r="H51" s="51">
        <f t="shared" si="9"/>
        <v>105803349.41</v>
      </c>
      <c r="I51" s="51">
        <f t="shared" si="9"/>
        <v>154569715.73000002</v>
      </c>
      <c r="J51" s="51">
        <f t="shared" si="9"/>
        <v>202457690.98000002</v>
      </c>
      <c r="K51" s="51">
        <f t="shared" si="9"/>
        <v>250645732.63000003</v>
      </c>
      <c r="L51" s="51">
        <f t="shared" si="9"/>
        <v>298507152.63</v>
      </c>
      <c r="M51" s="51">
        <f t="shared" si="9"/>
        <v>346712058.88999999</v>
      </c>
      <c r="N51" s="51">
        <f t="shared" si="9"/>
        <v>421459168.35000002</v>
      </c>
      <c r="O51" s="51">
        <f t="shared" si="9"/>
        <v>474132958.60000002</v>
      </c>
      <c r="P51" s="51">
        <f t="shared" si="9"/>
        <v>527374639.91000003</v>
      </c>
      <c r="Q51" s="52"/>
      <c r="R51" s="52"/>
      <c r="S51" s="102"/>
      <c r="T51" s="102"/>
      <c r="U51" s="153"/>
    </row>
    <row r="52" spans="1:21" s="96" customFormat="1" ht="12.75" customHeight="1" thickBot="1" x14ac:dyDescent="0.25">
      <c r="C52" s="119" t="s">
        <v>75</v>
      </c>
      <c r="D52" s="52"/>
      <c r="E52" s="120">
        <f>+E50+E51</f>
        <v>6131907.049999997</v>
      </c>
      <c r="F52" s="120">
        <f t="shared" ref="F52:P52" si="10">+F50+F51</f>
        <v>18837608.099999994</v>
      </c>
      <c r="G52" s="120">
        <f t="shared" si="10"/>
        <v>127750289.42999999</v>
      </c>
      <c r="H52" s="120">
        <f t="shared" si="10"/>
        <v>491952599.24000001</v>
      </c>
      <c r="I52" s="120">
        <f t="shared" si="10"/>
        <v>762432334.72000003</v>
      </c>
      <c r="J52" s="120">
        <f t="shared" si="10"/>
        <v>846109725.06000006</v>
      </c>
      <c r="K52" s="120">
        <f t="shared" si="10"/>
        <v>907194394.25</v>
      </c>
      <c r="L52" s="120">
        <f t="shared" si="10"/>
        <v>969411589.20000005</v>
      </c>
      <c r="M52" s="120">
        <f t="shared" si="10"/>
        <v>1026338372.27</v>
      </c>
      <c r="N52" s="120">
        <f t="shared" si="10"/>
        <v>1108146629.5700002</v>
      </c>
      <c r="O52" s="120">
        <f t="shared" si="10"/>
        <v>1169419825.8299999</v>
      </c>
      <c r="P52" s="120">
        <f t="shared" si="10"/>
        <v>1231207895.45</v>
      </c>
      <c r="Q52" s="52"/>
      <c r="R52" s="52"/>
      <c r="S52" s="102"/>
      <c r="T52" s="102"/>
      <c r="U52" s="153"/>
    </row>
    <row r="53" spans="1:21" s="96" customFormat="1" ht="12.75" customHeight="1" x14ac:dyDescent="0.2">
      <c r="C53" s="121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102"/>
      <c r="T53" s="102"/>
      <c r="U53" s="153"/>
    </row>
    <row r="54" spans="1:21" ht="38.25" x14ac:dyDescent="0.2">
      <c r="A54" s="102"/>
      <c r="B54" s="155" t="str">
        <f>"(LOCAL &amp; OTHER)" &amp; CHAR(9) &amp; "Budgeted: " &amp; TEXT(B45,"$#,##0")  &amp; CHAR(9) &amp; "Actual: " &amp; TEXT(C45,"$#,##0") &amp; "  " &amp; TEXT(D45,"###.00%") &amp; CHAR(10) &amp; "(STATE)" &amp; CHAR(9) &amp; "Budgeted: " &amp; TEXT(B46,"$#,##0") &amp; CHAR(9) &amp; "Actual: " &amp; TEXT(C46,"$#,##0") &amp; "   " &amp; TEXT(D46,"###.00%") &amp; CHAR(10) &amp; "TOTAL Budgeted: " &amp; TEXT(B47,"$#,##0") &amp; CHAR(9) &amp; "Actual: " &amp; TEXT(C47,"$#,##0") &amp; "   " &amp; TEXT(D47,"###.00%")</f>
        <v>(LOCAL &amp; OTHER)	Budgeted: $684,519,058	Actual: $703,833,256  102.82%
(STATE)	Budgeted: $537,945,678	Actual: $527,374,640   98.03%
TOTAL Budgeted: $1,222,464,736	Actual: $1,231,207,895   100.72%</v>
      </c>
      <c r="C54" s="155"/>
      <c r="D54" s="155"/>
      <c r="E54" s="155"/>
      <c r="F54" s="155"/>
      <c r="G54" s="155"/>
      <c r="H54" s="155"/>
      <c r="I54" s="155"/>
      <c r="J54" s="155"/>
      <c r="K54" s="155"/>
      <c r="Q54" s="52"/>
      <c r="R54" s="146" t="s">
        <v>81</v>
      </c>
      <c r="S54" s="147"/>
      <c r="T54" s="147"/>
      <c r="U54" s="154"/>
    </row>
    <row r="55" spans="1:21" x14ac:dyDescent="0.2">
      <c r="B55" s="159" t="str">
        <f>"(STATE)" &amp; CHAR(9) &amp; "Budgeted: " &amp; TEXT(B46,"$#,##0") &amp; CHAR(9) &amp; "Actual: " &amp; TEXT(C46,"$#,##0") &amp; "   " &amp; TEXT(D46,"###.00%")</f>
        <v>(STATE)	Budgeted: $537,945,678	Actual: $527,374,640   98.03%</v>
      </c>
      <c r="C55" s="159"/>
      <c r="D55" s="159"/>
      <c r="E55" s="159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134"/>
    </row>
    <row r="56" spans="1:21" x14ac:dyDescent="0.2">
      <c r="B56" s="159" t="str">
        <f>"TOTAL Budgeted: " &amp; TEXT(B47,"$#,##0") &amp; CHAR(9) &amp; "Actual: " &amp; TEXT(C47,"$#,##0") &amp; "   " &amp; TEXT(D47,"###.00%")</f>
        <v>TOTAL Budgeted: $1,222,464,736	Actual: $1,231,207,895   100.72%</v>
      </c>
      <c r="C56" s="159"/>
      <c r="D56" s="159"/>
      <c r="E56" s="159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1"/>
    </row>
    <row r="57" spans="1:21" x14ac:dyDescent="0.2">
      <c r="B57" s="122"/>
      <c r="C57" s="123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1"/>
    </row>
    <row r="58" spans="1:21" ht="13.5" thickBot="1" x14ac:dyDescent="0.25">
      <c r="B58" s="51"/>
      <c r="C58" s="102"/>
      <c r="E58" s="51"/>
      <c r="L58" s="52"/>
      <c r="M58" s="52"/>
      <c r="N58" s="52"/>
      <c r="O58" s="52"/>
      <c r="P58" s="52"/>
      <c r="Q58" s="52"/>
    </row>
    <row r="59" spans="1:21" s="102" customFormat="1" ht="26.25" thickBot="1" x14ac:dyDescent="0.25">
      <c r="A59" s="124" t="s">
        <v>37</v>
      </c>
      <c r="B59" s="125" t="s">
        <v>38</v>
      </c>
      <c r="P59" s="52"/>
      <c r="Q59" s="52"/>
      <c r="R59" s="52"/>
      <c r="U59" s="150"/>
    </row>
    <row r="60" spans="1:21" s="102" customFormat="1" x14ac:dyDescent="0.2">
      <c r="A60" s="126" t="s">
        <v>8</v>
      </c>
      <c r="B60" s="127">
        <v>682980802</v>
      </c>
      <c r="C60" s="51"/>
      <c r="N60" s="128"/>
      <c r="O60" s="52"/>
      <c r="P60" s="52"/>
      <c r="Q60" s="52"/>
      <c r="R60" s="52"/>
      <c r="U60" s="150"/>
    </row>
    <row r="61" spans="1:21" x14ac:dyDescent="0.2">
      <c r="A61" s="126" t="s">
        <v>9</v>
      </c>
      <c r="B61" s="127">
        <v>90000</v>
      </c>
      <c r="C61" s="51"/>
      <c r="E61" s="51"/>
      <c r="G61" s="102"/>
      <c r="I61" s="102"/>
      <c r="J61" s="102"/>
      <c r="K61" s="102"/>
      <c r="L61" s="102"/>
      <c r="M61" s="52"/>
      <c r="N61" s="128"/>
      <c r="O61" s="129"/>
      <c r="P61" s="52"/>
      <c r="Q61" s="52"/>
    </row>
    <row r="62" spans="1:21" x14ac:dyDescent="0.2">
      <c r="A62" s="126" t="s">
        <v>10</v>
      </c>
      <c r="B62" s="127">
        <v>537945677.53000009</v>
      </c>
      <c r="C62" s="51"/>
      <c r="E62" s="51"/>
      <c r="G62" s="102"/>
      <c r="I62" s="102"/>
      <c r="J62" s="102"/>
      <c r="K62" s="102"/>
      <c r="L62" s="102"/>
      <c r="M62" s="52"/>
      <c r="N62" s="128"/>
      <c r="O62" s="129"/>
      <c r="P62" s="52"/>
      <c r="Q62" s="52"/>
    </row>
    <row r="63" spans="1:21" ht="13.5" thickBot="1" x14ac:dyDescent="0.25">
      <c r="A63" s="126" t="s">
        <v>11</v>
      </c>
      <c r="B63" s="127">
        <v>1448256</v>
      </c>
      <c r="C63" s="51"/>
      <c r="E63" s="51"/>
      <c r="G63" s="102"/>
      <c r="I63" s="102"/>
      <c r="J63" s="102"/>
      <c r="K63" s="102"/>
      <c r="L63" s="102"/>
      <c r="M63" s="52"/>
      <c r="N63" s="128"/>
      <c r="O63" s="129"/>
      <c r="P63" s="52"/>
      <c r="Q63" s="52"/>
    </row>
    <row r="64" spans="1:21" ht="13.5" thickBot="1" x14ac:dyDescent="0.25">
      <c r="A64" s="130" t="s">
        <v>76</v>
      </c>
      <c r="B64" s="131">
        <f>SUM(B60:B63)</f>
        <v>1222464735.5300002</v>
      </c>
      <c r="C64" s="102"/>
      <c r="D64" s="102"/>
      <c r="E64" s="51"/>
      <c r="G64" s="102"/>
      <c r="I64" s="102"/>
      <c r="J64" s="102"/>
      <c r="K64" s="102"/>
      <c r="L64" s="102"/>
      <c r="M64" s="102"/>
      <c r="N64" s="52"/>
      <c r="O64" s="128"/>
      <c r="P64" s="129"/>
      <c r="Q64" s="52"/>
    </row>
    <row r="65" spans="1:20" x14ac:dyDescent="0.2">
      <c r="C65" s="102"/>
      <c r="D65" s="102"/>
      <c r="E65" s="51"/>
      <c r="G65" s="102"/>
      <c r="I65" s="102"/>
      <c r="J65" s="102"/>
      <c r="K65" s="102"/>
      <c r="L65" s="102"/>
      <c r="M65" s="52"/>
      <c r="N65" s="128"/>
      <c r="O65" s="129"/>
      <c r="P65" s="52"/>
      <c r="Q65" s="52"/>
    </row>
    <row r="66" spans="1:20" ht="13.5" thickBot="1" x14ac:dyDescent="0.25">
      <c r="C66" s="51"/>
      <c r="D66" s="102"/>
      <c r="E66" s="51"/>
      <c r="I66" s="102"/>
      <c r="J66" s="102"/>
      <c r="K66" s="102"/>
      <c r="L66" s="102"/>
      <c r="M66" s="102"/>
      <c r="N66" s="52"/>
      <c r="O66" s="128"/>
      <c r="P66" s="129"/>
      <c r="Q66" s="52"/>
    </row>
    <row r="67" spans="1:20" ht="26.25" thickBot="1" x14ac:dyDescent="0.25">
      <c r="B67" s="119" t="s">
        <v>78</v>
      </c>
      <c r="C67" s="132" t="s">
        <v>77</v>
      </c>
      <c r="D67" s="102"/>
      <c r="E67" s="51"/>
      <c r="G67" s="102"/>
      <c r="H67" s="102"/>
      <c r="I67" s="102"/>
      <c r="J67" s="102"/>
      <c r="K67" s="102"/>
      <c r="L67" s="102"/>
      <c r="M67" s="52"/>
      <c r="N67" s="128"/>
      <c r="O67" s="129"/>
      <c r="P67" s="52"/>
      <c r="Q67" s="52"/>
    </row>
    <row r="68" spans="1:20" x14ac:dyDescent="0.2">
      <c r="A68" s="102" t="s">
        <v>8</v>
      </c>
      <c r="B68" s="51">
        <v>682980802</v>
      </c>
      <c r="C68" s="51">
        <v>703355698.65000021</v>
      </c>
      <c r="D68" s="102"/>
      <c r="E68" s="51"/>
      <c r="G68" s="102"/>
      <c r="H68" s="102"/>
      <c r="I68" s="102"/>
      <c r="J68" s="102"/>
      <c r="K68" s="102"/>
      <c r="L68" s="102"/>
      <c r="M68" s="52"/>
      <c r="N68" s="128"/>
      <c r="O68" s="129"/>
      <c r="P68" s="52"/>
      <c r="Q68" s="52"/>
    </row>
    <row r="69" spans="1:20" x14ac:dyDescent="0.2">
      <c r="A69" s="102" t="s">
        <v>9</v>
      </c>
      <c r="B69" s="51">
        <v>90000</v>
      </c>
      <c r="C69" s="51">
        <v>348503.86</v>
      </c>
      <c r="D69" s="102"/>
      <c r="E69" s="51"/>
      <c r="G69" s="102"/>
      <c r="H69" s="102"/>
      <c r="I69" s="102"/>
      <c r="J69" s="102"/>
      <c r="K69" s="102"/>
      <c r="L69" s="102"/>
      <c r="M69" s="52"/>
      <c r="N69" s="128"/>
      <c r="O69" s="129"/>
      <c r="P69" s="52"/>
      <c r="Q69" s="52"/>
    </row>
    <row r="70" spans="1:20" x14ac:dyDescent="0.2">
      <c r="A70" s="102" t="s">
        <v>10</v>
      </c>
      <c r="B70" s="51">
        <v>537945677.53000009</v>
      </c>
      <c r="C70" s="51">
        <v>527374639.91000003</v>
      </c>
      <c r="D70" s="102"/>
      <c r="E70" s="51"/>
      <c r="G70" s="102"/>
      <c r="H70" s="102"/>
      <c r="I70" s="102"/>
      <c r="J70" s="102"/>
      <c r="K70" s="102"/>
      <c r="L70" s="102"/>
      <c r="M70" s="52"/>
      <c r="N70" s="128"/>
      <c r="O70" s="129"/>
      <c r="P70" s="52"/>
      <c r="Q70" s="52"/>
    </row>
    <row r="71" spans="1:20" x14ac:dyDescent="0.2">
      <c r="A71" s="102" t="s">
        <v>11</v>
      </c>
      <c r="B71" s="51">
        <v>1448256</v>
      </c>
      <c r="C71" s="51">
        <v>129053.03</v>
      </c>
      <c r="D71" s="102"/>
      <c r="E71" s="51"/>
      <c r="H71" s="102"/>
      <c r="I71" s="102"/>
      <c r="J71" s="102"/>
      <c r="K71" s="102"/>
      <c r="L71" s="102"/>
      <c r="M71" s="52"/>
      <c r="N71" s="128"/>
      <c r="O71" s="129"/>
      <c r="P71" s="52"/>
      <c r="Q71" s="52"/>
    </row>
    <row r="72" spans="1:20" x14ac:dyDescent="0.2">
      <c r="B72" s="51"/>
      <c r="E72" s="51"/>
      <c r="H72" s="102"/>
      <c r="I72" s="102"/>
      <c r="J72" s="102"/>
      <c r="K72" s="102"/>
      <c r="L72" s="102"/>
      <c r="M72" s="52"/>
      <c r="N72" s="128"/>
      <c r="O72" s="129"/>
      <c r="P72" s="52"/>
      <c r="Q72" s="52"/>
    </row>
    <row r="73" spans="1:20" x14ac:dyDescent="0.2">
      <c r="B73" s="51"/>
      <c r="E73" s="51"/>
      <c r="P73" s="52"/>
      <c r="Q73" s="52"/>
    </row>
    <row r="74" spans="1:20" x14ac:dyDescent="0.2">
      <c r="B74" s="51"/>
      <c r="E74" s="51"/>
      <c r="P74" s="52"/>
      <c r="Q74" s="52"/>
    </row>
    <row r="75" spans="1:20" ht="12.75" customHeight="1" x14ac:dyDescent="0.2">
      <c r="C75" s="134"/>
      <c r="D75" s="134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S75" s="52"/>
      <c r="T75" s="52"/>
    </row>
    <row r="76" spans="1:20" x14ac:dyDescent="0.2">
      <c r="E76" s="51"/>
      <c r="P76" s="52"/>
      <c r="Q76" s="52"/>
    </row>
    <row r="77" spans="1:20" x14ac:dyDescent="0.2">
      <c r="E77" s="51"/>
      <c r="P77" s="52"/>
      <c r="Q77" s="52"/>
    </row>
    <row r="78" spans="1:20" x14ac:dyDescent="0.2">
      <c r="B78" s="51"/>
      <c r="E78" s="51"/>
      <c r="P78" s="52"/>
      <c r="Q78" s="52"/>
    </row>
    <row r="79" spans="1:20" x14ac:dyDescent="0.2">
      <c r="B79" s="51"/>
      <c r="E79" s="51"/>
      <c r="P79" s="52"/>
      <c r="Q79" s="52"/>
    </row>
    <row r="80" spans="1:20" x14ac:dyDescent="0.2">
      <c r="E80" s="51"/>
      <c r="P80" s="52"/>
      <c r="Q80" s="52"/>
    </row>
    <row r="81" spans="5:17" x14ac:dyDescent="0.2">
      <c r="E81" s="51"/>
      <c r="P81" s="52"/>
      <c r="Q81" s="52"/>
    </row>
    <row r="82" spans="5:17" x14ac:dyDescent="0.2">
      <c r="E82" s="51"/>
      <c r="P82" s="52"/>
      <c r="Q82" s="52"/>
    </row>
    <row r="83" spans="5:17" x14ac:dyDescent="0.2">
      <c r="E83" s="51"/>
      <c r="P83" s="52"/>
      <c r="Q83" s="52"/>
    </row>
    <row r="84" spans="5:17" x14ac:dyDescent="0.2">
      <c r="E84" s="51"/>
      <c r="Q84" s="52"/>
    </row>
    <row r="85" spans="5:17" x14ac:dyDescent="0.2">
      <c r="E85" s="51"/>
      <c r="Q85" s="52"/>
    </row>
    <row r="86" spans="5:17" x14ac:dyDescent="0.2">
      <c r="E86" s="51"/>
      <c r="Q86" s="52"/>
    </row>
    <row r="87" spans="5:17" x14ac:dyDescent="0.2">
      <c r="E87" s="51"/>
      <c r="Q87" s="52"/>
    </row>
    <row r="88" spans="5:17" x14ac:dyDescent="0.2">
      <c r="E88" s="51"/>
      <c r="Q88" s="52"/>
    </row>
    <row r="89" spans="5:17" x14ac:dyDescent="0.2">
      <c r="E89" s="51"/>
      <c r="Q89" s="52"/>
    </row>
    <row r="90" spans="5:17" x14ac:dyDescent="0.2">
      <c r="E90" s="51"/>
      <c r="Q90" s="52"/>
    </row>
    <row r="91" spans="5:17" x14ac:dyDescent="0.2">
      <c r="E91" s="51"/>
      <c r="Q91" s="52"/>
    </row>
    <row r="92" spans="5:17" x14ac:dyDescent="0.2">
      <c r="E92" s="51"/>
      <c r="Q92" s="52"/>
    </row>
    <row r="93" spans="5:17" x14ac:dyDescent="0.2">
      <c r="E93" s="51"/>
      <c r="Q93" s="52"/>
    </row>
    <row r="94" spans="5:17" x14ac:dyDescent="0.2">
      <c r="E94" s="51"/>
      <c r="Q94" s="52"/>
    </row>
    <row r="95" spans="5:17" x14ac:dyDescent="0.2">
      <c r="E95" s="51"/>
      <c r="Q95" s="52"/>
    </row>
  </sheetData>
  <mergeCells count="8">
    <mergeCell ref="B55:E55"/>
    <mergeCell ref="B56:E56"/>
    <mergeCell ref="C49:D49"/>
    <mergeCell ref="A1:G1"/>
    <mergeCell ref="A3:G3"/>
    <mergeCell ref="B26:F26"/>
    <mergeCell ref="B28:F28"/>
    <mergeCell ref="A36:F36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140625" style="31" bestFit="1" customWidth="1"/>
    <col min="4" max="4" width="13.42578125" style="31" bestFit="1" customWidth="1"/>
    <col min="5" max="5" width="14.28515625" style="31" bestFit="1" customWidth="1"/>
    <col min="6" max="6" width="16.85546875" style="31" customWidth="1"/>
    <col min="7" max="7" width="14.28515625" style="31" bestFit="1" customWidth="1"/>
    <col min="8" max="8" width="13.5703125" style="31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2" style="1" bestFit="1" customWidth="1"/>
    <col min="14" max="14" width="11" style="1" bestFit="1" customWidth="1"/>
    <col min="15" max="15" width="12" style="1" bestFit="1" customWidth="1"/>
    <col min="16" max="16" width="11" style="1" bestFit="1" customWidth="1"/>
    <col min="17" max="16384" width="9.140625" style="1"/>
  </cols>
  <sheetData>
    <row r="1" spans="1:9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</row>
    <row r="2" spans="1:9" ht="18.75" x14ac:dyDescent="0.3">
      <c r="A2" s="157" t="s">
        <v>42</v>
      </c>
      <c r="B2" s="157"/>
      <c r="C2" s="157"/>
      <c r="D2" s="157"/>
      <c r="E2" s="157"/>
      <c r="F2" s="157"/>
      <c r="G2" s="157"/>
      <c r="H2" s="157"/>
      <c r="I2" s="157"/>
    </row>
    <row r="3" spans="1:9" x14ac:dyDescent="0.25">
      <c r="A3" s="156" t="s">
        <v>1</v>
      </c>
      <c r="B3" s="156"/>
      <c r="C3" s="156"/>
      <c r="D3" s="156"/>
      <c r="E3" s="156"/>
      <c r="F3" s="156"/>
      <c r="G3" s="156"/>
      <c r="H3" s="156"/>
      <c r="I3" s="156"/>
    </row>
    <row r="4" spans="1:9" x14ac:dyDescent="0.25">
      <c r="A4" s="158">
        <v>44742</v>
      </c>
      <c r="B4" s="158"/>
      <c r="C4" s="158"/>
      <c r="D4" s="158"/>
      <c r="E4" s="158"/>
      <c r="F4" s="158"/>
      <c r="G4" s="158"/>
      <c r="H4" s="158"/>
      <c r="I4" s="158"/>
    </row>
    <row r="5" spans="1:9" x14ac:dyDescent="0.25">
      <c r="A5" s="156" t="s">
        <v>2</v>
      </c>
      <c r="B5" s="156"/>
      <c r="C5" s="156"/>
      <c r="D5" s="156"/>
      <c r="E5" s="156"/>
      <c r="F5" s="156"/>
      <c r="G5" s="156"/>
      <c r="H5" s="156"/>
      <c r="I5" s="156"/>
    </row>
    <row r="6" spans="1:9" ht="15.75" thickBot="1" x14ac:dyDescent="0.3">
      <c r="A6" s="156"/>
      <c r="B6" s="156"/>
      <c r="C6" s="156"/>
      <c r="D6" s="156"/>
      <c r="E6" s="156"/>
      <c r="F6" s="156"/>
      <c r="G6" s="156"/>
      <c r="H6" s="156"/>
      <c r="I6" s="156"/>
    </row>
    <row r="7" spans="1:9" s="5" customFormat="1" ht="45.75" thickBot="1" x14ac:dyDescent="0.25">
      <c r="A7" s="2" t="s">
        <v>37</v>
      </c>
      <c r="B7" s="33" t="s">
        <v>39</v>
      </c>
      <c r="C7" s="33" t="s">
        <v>38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36</v>
      </c>
    </row>
    <row r="8" spans="1:9" s="5" customFormat="1" x14ac:dyDescent="0.2">
      <c r="A8" s="6" t="s">
        <v>8</v>
      </c>
      <c r="B8" s="7">
        <v>32254259</v>
      </c>
      <c r="C8" s="7">
        <v>32646909.789999999</v>
      </c>
      <c r="D8" s="7">
        <v>2916630.6</v>
      </c>
      <c r="E8" s="7">
        <v>34838659.81000001</v>
      </c>
      <c r="F8" s="7">
        <v>0</v>
      </c>
      <c r="G8" s="7">
        <f t="shared" ref="G8:G12" si="0">SUM(E8:F8)</f>
        <v>34838659.81000001</v>
      </c>
      <c r="H8" s="7">
        <f t="shared" ref="H8:H12" si="1">C8-G8</f>
        <v>-2191750.0200000107</v>
      </c>
      <c r="I8" s="17">
        <f>IF(C8=0,"",H8/C8)</f>
        <v>-6.7134991767930224E-2</v>
      </c>
    </row>
    <row r="9" spans="1:9" s="5" customFormat="1" x14ac:dyDescent="0.2">
      <c r="A9" s="6" t="s">
        <v>9</v>
      </c>
      <c r="B9" s="7">
        <v>0</v>
      </c>
      <c r="C9" s="7">
        <v>0</v>
      </c>
      <c r="D9" s="7">
        <v>251.71</v>
      </c>
      <c r="E9" s="7">
        <v>669.91</v>
      </c>
      <c r="F9" s="7">
        <v>0</v>
      </c>
      <c r="G9" s="7">
        <f t="shared" si="0"/>
        <v>669.91</v>
      </c>
      <c r="H9" s="7">
        <f t="shared" si="1"/>
        <v>-669.91</v>
      </c>
      <c r="I9" s="17" t="str">
        <f t="shared" ref="I9:I12" si="2">IF(C9=0,"",H9/C9)</f>
        <v/>
      </c>
    </row>
    <row r="10" spans="1:9" s="5" customFormat="1" x14ac:dyDescent="0.2">
      <c r="A10" s="6" t="s">
        <v>10</v>
      </c>
      <c r="B10" s="7">
        <v>15658944.710000001</v>
      </c>
      <c r="C10" s="7">
        <v>16209441.710000001</v>
      </c>
      <c r="D10" s="7">
        <v>214338.8</v>
      </c>
      <c r="E10" s="7">
        <v>14576003.82</v>
      </c>
      <c r="F10" s="7">
        <v>0</v>
      </c>
      <c r="G10" s="7">
        <f t="shared" si="0"/>
        <v>14576003.82</v>
      </c>
      <c r="H10" s="7">
        <f t="shared" si="1"/>
        <v>1633437.8900000006</v>
      </c>
      <c r="I10" s="17">
        <f t="shared" si="2"/>
        <v>0.1007707680019783</v>
      </c>
    </row>
    <row r="11" spans="1:9" s="5" customFormat="1" x14ac:dyDescent="0.2">
      <c r="A11" s="6" t="s">
        <v>30</v>
      </c>
      <c r="B11" s="7">
        <v>421081229.04000002</v>
      </c>
      <c r="C11" s="7">
        <v>596653418.24000001</v>
      </c>
      <c r="D11" s="7">
        <v>6842255.6500000004</v>
      </c>
      <c r="E11" s="7">
        <v>218031598.93000001</v>
      </c>
      <c r="F11" s="7">
        <v>0</v>
      </c>
      <c r="G11" s="7">
        <f t="shared" si="0"/>
        <v>218031598.93000001</v>
      </c>
      <c r="H11" s="7">
        <f t="shared" si="1"/>
        <v>378621819.31</v>
      </c>
      <c r="I11" s="17">
        <f t="shared" si="2"/>
        <v>0.63457579850435353</v>
      </c>
    </row>
    <row r="12" spans="1:9" s="5" customFormat="1" x14ac:dyDescent="0.2">
      <c r="A12" s="8" t="s">
        <v>11</v>
      </c>
      <c r="B12" s="7">
        <v>934708</v>
      </c>
      <c r="C12" s="7">
        <v>934708</v>
      </c>
      <c r="D12" s="7">
        <v>90564.160000000003</v>
      </c>
      <c r="E12" s="7">
        <v>521134.18</v>
      </c>
      <c r="F12" s="7">
        <v>0</v>
      </c>
      <c r="G12" s="7">
        <f t="shared" si="0"/>
        <v>521134.18</v>
      </c>
      <c r="H12" s="7">
        <f t="shared" si="1"/>
        <v>413573.82</v>
      </c>
      <c r="I12" s="17">
        <f t="shared" si="2"/>
        <v>0.44246312217291389</v>
      </c>
    </row>
    <row r="13" spans="1:9" s="5" customFormat="1" ht="24.95" customHeight="1" x14ac:dyDescent="0.2">
      <c r="A13" s="10" t="s">
        <v>12</v>
      </c>
      <c r="B13" s="11">
        <f>SUM(B8:B12)</f>
        <v>469929140.75</v>
      </c>
      <c r="C13" s="11">
        <f t="shared" ref="C13:H13" si="3">SUM(C8:C12)</f>
        <v>646444477.74000001</v>
      </c>
      <c r="D13" s="11">
        <f t="shared" si="3"/>
        <v>10064040.92</v>
      </c>
      <c r="E13" s="11">
        <f t="shared" si="3"/>
        <v>267968066.65000004</v>
      </c>
      <c r="F13" s="11">
        <f t="shared" si="3"/>
        <v>0</v>
      </c>
      <c r="G13" s="11">
        <f t="shared" si="3"/>
        <v>267968066.65000004</v>
      </c>
      <c r="H13" s="11">
        <f t="shared" si="3"/>
        <v>378476411.08999997</v>
      </c>
      <c r="I13" s="12">
        <f>IF(C13=0,"",H13/C13)</f>
        <v>0.58547396431194076</v>
      </c>
    </row>
    <row r="14" spans="1:9" s="5" customFormat="1" x14ac:dyDescent="0.2">
      <c r="A14" s="13" t="s">
        <v>13</v>
      </c>
      <c r="B14" s="14">
        <v>140679621.12999997</v>
      </c>
      <c r="C14" s="14">
        <v>256096663.48000008</v>
      </c>
      <c r="D14" s="14">
        <v>10371551.710000003</v>
      </c>
      <c r="E14" s="14">
        <v>142743554.85000002</v>
      </c>
      <c r="F14" s="14">
        <v>16670915.789999999</v>
      </c>
      <c r="G14" s="14">
        <f t="shared" ref="G14:G31" si="4">SUM(E14:F14)</f>
        <v>159414470.64000002</v>
      </c>
      <c r="H14" s="14">
        <f t="shared" ref="H14:H31" si="5">C14-G14</f>
        <v>96682192.840000063</v>
      </c>
      <c r="I14" s="27">
        <f t="shared" ref="I14:I31" si="6">IF(C14=0,"",H14/C14)</f>
        <v>0.3775222664997761</v>
      </c>
    </row>
    <row r="15" spans="1:9" s="5" customFormat="1" x14ac:dyDescent="0.2">
      <c r="A15" s="6" t="s">
        <v>14</v>
      </c>
      <c r="B15" s="7">
        <v>35566098.25</v>
      </c>
      <c r="C15" s="7">
        <v>28757102.02</v>
      </c>
      <c r="D15" s="7">
        <v>1495354.3200000012</v>
      </c>
      <c r="E15" s="7">
        <v>17812098.460000005</v>
      </c>
      <c r="F15" s="7">
        <v>1851027.5199999998</v>
      </c>
      <c r="G15" s="7">
        <f t="shared" si="4"/>
        <v>19663125.980000004</v>
      </c>
      <c r="H15" s="7">
        <f t="shared" si="5"/>
        <v>9093976.0399999954</v>
      </c>
      <c r="I15" s="17">
        <f t="shared" si="6"/>
        <v>0.31623409179670864</v>
      </c>
    </row>
    <row r="16" spans="1:9" s="5" customFormat="1" x14ac:dyDescent="0.2">
      <c r="A16" s="6" t="s">
        <v>15</v>
      </c>
      <c r="B16" s="7">
        <v>29294458.720000003</v>
      </c>
      <c r="C16" s="7">
        <v>2030828.76</v>
      </c>
      <c r="D16" s="7">
        <v>298123.87</v>
      </c>
      <c r="E16" s="7">
        <v>5144403.4399999939</v>
      </c>
      <c r="F16" s="7">
        <v>245097.62</v>
      </c>
      <c r="G16" s="7">
        <f t="shared" si="4"/>
        <v>5389501.059999994</v>
      </c>
      <c r="H16" s="7">
        <f t="shared" si="5"/>
        <v>-3358672.2999999942</v>
      </c>
      <c r="I16" s="17">
        <f t="shared" si="6"/>
        <v>-1.6538431827211242</v>
      </c>
    </row>
    <row r="17" spans="1:9" s="5" customFormat="1" x14ac:dyDescent="0.2">
      <c r="A17" s="6" t="s">
        <v>16</v>
      </c>
      <c r="B17" s="7">
        <v>52358513.960000001</v>
      </c>
      <c r="C17" s="7">
        <v>35722081.560000002</v>
      </c>
      <c r="D17" s="7">
        <v>2254052.5800000047</v>
      </c>
      <c r="E17" s="7">
        <v>19360600.43999999</v>
      </c>
      <c r="F17" s="7">
        <v>669328.74000000022</v>
      </c>
      <c r="G17" s="7">
        <f t="shared" si="4"/>
        <v>20029929.179999992</v>
      </c>
      <c r="H17" s="7">
        <f t="shared" si="5"/>
        <v>15692152.38000001</v>
      </c>
      <c r="I17" s="17">
        <f t="shared" si="6"/>
        <v>0.43928437802939746</v>
      </c>
    </row>
    <row r="18" spans="1:9" s="5" customFormat="1" x14ac:dyDescent="0.2">
      <c r="A18" s="6" t="s">
        <v>17</v>
      </c>
      <c r="B18" s="7">
        <v>2956710.19</v>
      </c>
      <c r="C18" s="7">
        <v>6140515.9399999995</v>
      </c>
      <c r="D18" s="7">
        <v>7338.56</v>
      </c>
      <c r="E18" s="7">
        <v>120565.11</v>
      </c>
      <c r="F18" s="7">
        <v>73946.990000000005</v>
      </c>
      <c r="G18" s="7">
        <f t="shared" si="4"/>
        <v>194512.1</v>
      </c>
      <c r="H18" s="7">
        <f t="shared" si="5"/>
        <v>5946003.8399999999</v>
      </c>
      <c r="I18" s="17">
        <f t="shared" si="6"/>
        <v>0.96832316666863016</v>
      </c>
    </row>
    <row r="19" spans="1:9" s="5" customFormat="1" x14ac:dyDescent="0.2">
      <c r="A19" s="6" t="s">
        <v>32</v>
      </c>
      <c r="B19" s="7">
        <v>-790757.91999999993</v>
      </c>
      <c r="C19" s="7">
        <v>8434157.6400000006</v>
      </c>
      <c r="D19" s="7">
        <v>313479.13</v>
      </c>
      <c r="E19" s="7">
        <v>3952793.1799999992</v>
      </c>
      <c r="F19" s="7">
        <v>35574.160000000003</v>
      </c>
      <c r="G19" s="7">
        <f>SUM(E19:F19)</f>
        <v>3988367.3399999994</v>
      </c>
      <c r="H19" s="7">
        <f>C19-G19</f>
        <v>4445790.3000000007</v>
      </c>
      <c r="I19" s="17">
        <f>IF(C19=0,"",H19/C19)</f>
        <v>0.52711728779117295</v>
      </c>
    </row>
    <row r="20" spans="1:9" s="5" customFormat="1" x14ac:dyDescent="0.2">
      <c r="A20" s="6" t="s">
        <v>18</v>
      </c>
      <c r="B20" s="7">
        <v>53428549.020000003</v>
      </c>
      <c r="C20" s="7">
        <v>74902196.979999989</v>
      </c>
      <c r="D20" s="7">
        <v>246031.21999999997</v>
      </c>
      <c r="E20" s="7">
        <v>6964838.6499999957</v>
      </c>
      <c r="F20" s="7">
        <v>134740.38</v>
      </c>
      <c r="G20" s="7">
        <f t="shared" si="4"/>
        <v>7099579.0299999956</v>
      </c>
      <c r="H20" s="7">
        <f t="shared" si="5"/>
        <v>67802617.949999988</v>
      </c>
      <c r="I20" s="17">
        <f t="shared" si="6"/>
        <v>0.90521534325761244</v>
      </c>
    </row>
    <row r="21" spans="1:9" s="5" customFormat="1" x14ac:dyDescent="0.2">
      <c r="A21" s="6" t="s">
        <v>19</v>
      </c>
      <c r="B21" s="7">
        <v>27932343.920000002</v>
      </c>
      <c r="C21" s="7">
        <v>3930299</v>
      </c>
      <c r="D21" s="7">
        <v>471295.89</v>
      </c>
      <c r="E21" s="7">
        <v>5695246.3399999971</v>
      </c>
      <c r="F21" s="7">
        <v>0</v>
      </c>
      <c r="G21" s="7">
        <f t="shared" si="4"/>
        <v>5695246.3399999971</v>
      </c>
      <c r="H21" s="7">
        <f t="shared" si="5"/>
        <v>-1764947.3399999971</v>
      </c>
      <c r="I21" s="17">
        <f t="shared" si="6"/>
        <v>-0.44906185000174215</v>
      </c>
    </row>
    <row r="22" spans="1:9" s="5" customFormat="1" x14ac:dyDescent="0.2">
      <c r="A22" s="6" t="s">
        <v>20</v>
      </c>
      <c r="B22" s="7">
        <v>26206873.300000001</v>
      </c>
      <c r="C22" s="7">
        <v>254228.3</v>
      </c>
      <c r="D22" s="7">
        <v>61291.12</v>
      </c>
      <c r="E22" s="7">
        <v>136277.01</v>
      </c>
      <c r="F22" s="7">
        <v>14186.7</v>
      </c>
      <c r="G22" s="7">
        <f t="shared" si="4"/>
        <v>150463.71000000002</v>
      </c>
      <c r="H22" s="7">
        <f t="shared" si="5"/>
        <v>103764.58999999997</v>
      </c>
      <c r="I22" s="17">
        <f t="shared" si="6"/>
        <v>0.40815515031174726</v>
      </c>
    </row>
    <row r="23" spans="1:9" s="5" customFormat="1" x14ac:dyDescent="0.2">
      <c r="A23" s="6" t="s">
        <v>21</v>
      </c>
      <c r="B23" s="7">
        <v>75119389.74000001</v>
      </c>
      <c r="C23" s="7">
        <v>64312338.159999989</v>
      </c>
      <c r="D23" s="7">
        <v>1737212.9600000002</v>
      </c>
      <c r="E23" s="7">
        <v>12345152.280000005</v>
      </c>
      <c r="F23" s="7">
        <v>859165.33000000007</v>
      </c>
      <c r="G23" s="7">
        <f t="shared" si="4"/>
        <v>13204317.610000005</v>
      </c>
      <c r="H23" s="7">
        <f t="shared" si="5"/>
        <v>51108020.549999982</v>
      </c>
      <c r="I23" s="17">
        <f t="shared" si="6"/>
        <v>0.79468453507086723</v>
      </c>
    </row>
    <row r="24" spans="1:9" s="5" customFormat="1" x14ac:dyDescent="0.2">
      <c r="A24" s="6" t="s">
        <v>22</v>
      </c>
      <c r="B24" s="7">
        <v>28330624.609999999</v>
      </c>
      <c r="C24" s="7">
        <v>3529380.25</v>
      </c>
      <c r="D24" s="7">
        <v>11653.380000000001</v>
      </c>
      <c r="E24" s="7">
        <v>4933012.2200000007</v>
      </c>
      <c r="F24" s="7">
        <v>39170.199999999997</v>
      </c>
      <c r="G24" s="7">
        <f t="shared" si="4"/>
        <v>4972182.4200000009</v>
      </c>
      <c r="H24" s="7">
        <f t="shared" si="5"/>
        <v>-1442802.1700000009</v>
      </c>
      <c r="I24" s="17">
        <f t="shared" si="6"/>
        <v>-0.40879759838855584</v>
      </c>
    </row>
    <row r="25" spans="1:9" s="5" customFormat="1" x14ac:dyDescent="0.2">
      <c r="A25" s="6" t="s">
        <v>23</v>
      </c>
      <c r="B25" s="7">
        <v>81085427.310000002</v>
      </c>
      <c r="C25" s="7">
        <v>4325393.0600000005</v>
      </c>
      <c r="D25" s="7">
        <v>-84012.569999999992</v>
      </c>
      <c r="E25" s="7">
        <v>11772453.279999997</v>
      </c>
      <c r="F25" s="7">
        <v>4054743.39</v>
      </c>
      <c r="G25" s="7">
        <f t="shared" si="4"/>
        <v>15827196.669999998</v>
      </c>
      <c r="H25" s="7">
        <f t="shared" si="5"/>
        <v>-11501803.609999998</v>
      </c>
      <c r="I25" s="17">
        <f t="shared" si="6"/>
        <v>-2.6591348925870788</v>
      </c>
    </row>
    <row r="26" spans="1:9" s="5" customFormat="1" x14ac:dyDescent="0.2">
      <c r="A26" s="6" t="s">
        <v>24</v>
      </c>
      <c r="B26" s="7">
        <v>316921.67</v>
      </c>
      <c r="C26" s="7">
        <v>2890548</v>
      </c>
      <c r="D26" s="7">
        <v>59813.210000000014</v>
      </c>
      <c r="E26" s="7">
        <v>978814.08999999985</v>
      </c>
      <c r="F26" s="7">
        <v>2955</v>
      </c>
      <c r="G26" s="7">
        <f t="shared" si="4"/>
        <v>981769.08999999985</v>
      </c>
      <c r="H26" s="7">
        <f t="shared" si="5"/>
        <v>1908778.9100000001</v>
      </c>
      <c r="I26" s="17">
        <f t="shared" si="6"/>
        <v>0.6603519159688751</v>
      </c>
    </row>
    <row r="27" spans="1:9" s="5" customFormat="1" x14ac:dyDescent="0.2">
      <c r="A27" s="6" t="s">
        <v>31</v>
      </c>
      <c r="B27" s="7">
        <v>52933840</v>
      </c>
      <c r="C27" s="7">
        <v>22094240</v>
      </c>
      <c r="D27" s="7">
        <v>0</v>
      </c>
      <c r="E27" s="7">
        <v>3567238.5099999993</v>
      </c>
      <c r="F27" s="7">
        <v>0</v>
      </c>
      <c r="G27" s="7">
        <f t="shared" si="4"/>
        <v>3567238.5099999993</v>
      </c>
      <c r="H27" s="7">
        <f t="shared" si="5"/>
        <v>18527001.490000002</v>
      </c>
      <c r="I27" s="17">
        <f t="shared" si="6"/>
        <v>0.83854441202775032</v>
      </c>
    </row>
    <row r="28" spans="1:9" s="5" customFormat="1" x14ac:dyDescent="0.2">
      <c r="A28" s="6" t="s">
        <v>33</v>
      </c>
      <c r="B28" s="7">
        <v>1567313</v>
      </c>
      <c r="C28" s="7">
        <v>1806083</v>
      </c>
      <c r="D28" s="7">
        <v>155091.98000000001</v>
      </c>
      <c r="E28" s="7">
        <v>2130745.0499999998</v>
      </c>
      <c r="F28" s="7">
        <v>321215.28000000009</v>
      </c>
      <c r="G28" s="7">
        <f t="shared" si="4"/>
        <v>2451960.33</v>
      </c>
      <c r="H28" s="7">
        <f t="shared" si="5"/>
        <v>-645877.33000000007</v>
      </c>
      <c r="I28" s="17">
        <f t="shared" si="6"/>
        <v>-0.35761220829828977</v>
      </c>
    </row>
    <row r="29" spans="1:9" s="5" customFormat="1" x14ac:dyDescent="0.2">
      <c r="A29" s="30" t="s">
        <v>40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7" t="str">
        <f t="shared" ref="I29" si="9">IF(C29=0,"",H29/C29)</f>
        <v/>
      </c>
    </row>
    <row r="30" spans="1:9" s="5" customFormat="1" x14ac:dyDescent="0.2">
      <c r="A30" s="30" t="s">
        <v>34</v>
      </c>
      <c r="B30" s="7">
        <v>41102643</v>
      </c>
      <c r="C30" s="7">
        <v>115000000</v>
      </c>
      <c r="D30" s="7">
        <v>0</v>
      </c>
      <c r="E30" s="7">
        <v>61637.270000000004</v>
      </c>
      <c r="F30" s="7">
        <v>0</v>
      </c>
      <c r="G30" s="7">
        <f t="shared" ref="G30" si="10">SUM(E30:F30)</f>
        <v>61637.270000000004</v>
      </c>
      <c r="H30" s="7">
        <f t="shared" ref="H30" si="11">C30-G30</f>
        <v>114938362.73</v>
      </c>
      <c r="I30" s="17">
        <f t="shared" ref="I30" si="12">IF(C30=0,"",H30/C30)</f>
        <v>0.99946402373913046</v>
      </c>
    </row>
    <row r="31" spans="1:9" s="5" customFormat="1" x14ac:dyDescent="0.2">
      <c r="A31" s="6" t="s">
        <v>26</v>
      </c>
      <c r="B31" s="7">
        <v>21976177</v>
      </c>
      <c r="C31" s="7">
        <v>21984747</v>
      </c>
      <c r="D31" s="7">
        <v>1638877.42</v>
      </c>
      <c r="E31" s="7">
        <v>21502765.430000003</v>
      </c>
      <c r="F31" s="7">
        <v>0</v>
      </c>
      <c r="G31" s="7">
        <f t="shared" si="4"/>
        <v>21502765.430000003</v>
      </c>
      <c r="H31" s="7">
        <f t="shared" si="5"/>
        <v>481981.56999999657</v>
      </c>
      <c r="I31" s="17">
        <f t="shared" si="6"/>
        <v>2.1923453110467752E-2</v>
      </c>
    </row>
    <row r="32" spans="1:9" s="5" customFormat="1" x14ac:dyDescent="0.2">
      <c r="A32" s="10" t="s">
        <v>27</v>
      </c>
      <c r="B32" s="11">
        <f t="shared" ref="B32:H32" si="13">SUM(B14:B31)</f>
        <v>670064746.89999998</v>
      </c>
      <c r="C32" s="11">
        <f t="shared" si="13"/>
        <v>652210803.14999998</v>
      </c>
      <c r="D32" s="11">
        <f t="shared" si="13"/>
        <v>19037154.780000009</v>
      </c>
      <c r="E32" s="11">
        <f t="shared" si="13"/>
        <v>259222195.61000007</v>
      </c>
      <c r="F32" s="11">
        <f t="shared" si="13"/>
        <v>24972067.099999998</v>
      </c>
      <c r="G32" s="11">
        <f t="shared" si="13"/>
        <v>284194262.71000004</v>
      </c>
      <c r="H32" s="11">
        <f t="shared" si="13"/>
        <v>368016540.44000006</v>
      </c>
      <c r="I32" s="12">
        <f>IF(C32=0,"",H32/C32)</f>
        <v>0.56426011139738985</v>
      </c>
    </row>
    <row r="33" spans="1:10" s="5" customFormat="1" x14ac:dyDescent="0.2">
      <c r="A33" s="13"/>
      <c r="B33" s="14"/>
      <c r="C33" s="14"/>
      <c r="D33" s="14"/>
      <c r="E33" s="14"/>
      <c r="F33" s="14"/>
      <c r="G33" s="14"/>
      <c r="H33" s="14"/>
      <c r="I33" s="16"/>
    </row>
    <row r="34" spans="1:10" s="5" customFormat="1" x14ac:dyDescent="0.2">
      <c r="A34" s="6" t="s">
        <v>28</v>
      </c>
      <c r="B34" s="7">
        <f>B13-B32</f>
        <v>-200135606.14999998</v>
      </c>
      <c r="C34" s="7">
        <f>C13-C32</f>
        <v>-5766325.4099999666</v>
      </c>
      <c r="D34" s="7">
        <f>D13-D32</f>
        <v>-8973113.8600000087</v>
      </c>
      <c r="E34" s="7">
        <f>E13-E32</f>
        <v>8745871.0399999619</v>
      </c>
      <c r="F34" s="7"/>
      <c r="G34" s="7">
        <f>G13-G32</f>
        <v>-16226196.060000002</v>
      </c>
      <c r="H34" s="7">
        <f>H13-H32</f>
        <v>10459870.649999917</v>
      </c>
      <c r="I34" s="17"/>
    </row>
    <row r="35" spans="1:10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5"/>
    </row>
    <row r="36" spans="1:10" s="5" customFormat="1" x14ac:dyDescent="0.2">
      <c r="A36" s="19" t="s">
        <v>35</v>
      </c>
      <c r="B36" s="21"/>
      <c r="C36" s="21"/>
      <c r="D36" s="21"/>
      <c r="E36" s="21">
        <v>562660.17000000156</v>
      </c>
      <c r="F36" s="21"/>
      <c r="G36" s="21">
        <f>E36</f>
        <v>562660.17000000156</v>
      </c>
      <c r="H36" s="21"/>
      <c r="I36" s="22"/>
    </row>
    <row r="37" spans="1:10" s="5" customFormat="1" ht="15.75" thickBot="1" x14ac:dyDescent="0.25">
      <c r="A37" s="23" t="s">
        <v>29</v>
      </c>
      <c r="B37" s="25"/>
      <c r="C37" s="25"/>
      <c r="D37" s="25"/>
      <c r="E37" s="25">
        <f>SUM(E34:E36)</f>
        <v>9308531.2099999636</v>
      </c>
      <c r="F37" s="25"/>
      <c r="G37" s="25">
        <f>SUM(G34:G36)</f>
        <v>-15663535.890000001</v>
      </c>
      <c r="H37" s="25"/>
      <c r="I37" s="26"/>
    </row>
    <row r="38" spans="1:10" s="5" customFormat="1" x14ac:dyDescent="0.2">
      <c r="B38" s="34"/>
      <c r="C38" s="34"/>
      <c r="D38" s="34"/>
      <c r="E38" s="34"/>
      <c r="F38" s="34"/>
      <c r="G38" s="34"/>
      <c r="H38" s="34"/>
    </row>
    <row r="39" spans="1:10" x14ac:dyDescent="0.25">
      <c r="A39" s="32"/>
      <c r="B39" s="34"/>
      <c r="C39" s="34"/>
      <c r="D39" s="34"/>
      <c r="E39" s="34"/>
      <c r="F39" s="34"/>
      <c r="G39" s="34"/>
      <c r="H39" s="34"/>
      <c r="I39" s="5"/>
      <c r="J39" s="5"/>
    </row>
    <row r="40" spans="1:10" x14ac:dyDescent="0.25">
      <c r="A40" s="5"/>
      <c r="B40" s="34"/>
      <c r="C40" s="34"/>
      <c r="D40" s="34"/>
      <c r="E40" s="34"/>
      <c r="F40" s="34"/>
      <c r="G40" s="34"/>
      <c r="H40" s="34"/>
      <c r="I40" s="34"/>
    </row>
    <row r="41" spans="1:10" x14ac:dyDescent="0.25">
      <c r="B41" s="34"/>
      <c r="C41" s="34"/>
      <c r="D41" s="34"/>
      <c r="E41" s="34"/>
      <c r="F41" s="34"/>
      <c r="G41" s="34"/>
      <c r="H41" s="34"/>
      <c r="I41" s="5"/>
    </row>
    <row r="42" spans="1:10" x14ac:dyDescent="0.25">
      <c r="I42" s="31"/>
      <c r="J42" s="31"/>
    </row>
    <row r="43" spans="1:10" x14ac:dyDescent="0.25">
      <c r="I43" s="31"/>
      <c r="J43" s="31"/>
    </row>
    <row r="44" spans="1:10" x14ac:dyDescent="0.25">
      <c r="I44" s="31"/>
    </row>
    <row r="45" spans="1:10" x14ac:dyDescent="0.25">
      <c r="I45" s="31"/>
    </row>
    <row r="46" spans="1:10" x14ac:dyDescent="0.25">
      <c r="I46" s="31"/>
    </row>
    <row r="47" spans="1:10" x14ac:dyDescent="0.25">
      <c r="I47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7.7109375" style="31" customWidth="1"/>
    <col min="7" max="7" width="13.5703125" style="31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</row>
    <row r="2" spans="1:9" ht="18.75" x14ac:dyDescent="0.3">
      <c r="A2" s="157" t="s">
        <v>43</v>
      </c>
      <c r="B2" s="157"/>
      <c r="C2" s="157"/>
      <c r="D2" s="157"/>
      <c r="E2" s="157"/>
      <c r="F2" s="157"/>
      <c r="G2" s="157"/>
      <c r="H2" s="157"/>
      <c r="I2" s="157"/>
    </row>
    <row r="3" spans="1:9" x14ac:dyDescent="0.25">
      <c r="A3" s="156" t="s">
        <v>1</v>
      </c>
      <c r="B3" s="156"/>
      <c r="C3" s="156"/>
      <c r="D3" s="156"/>
      <c r="E3" s="156"/>
      <c r="F3" s="156"/>
      <c r="G3" s="156"/>
      <c r="H3" s="156"/>
      <c r="I3" s="156"/>
    </row>
    <row r="4" spans="1:9" x14ac:dyDescent="0.25">
      <c r="A4" s="158">
        <v>44742</v>
      </c>
      <c r="B4" s="158"/>
      <c r="C4" s="158"/>
      <c r="D4" s="158"/>
      <c r="E4" s="158"/>
      <c r="F4" s="158"/>
      <c r="G4" s="158"/>
      <c r="H4" s="158"/>
      <c r="I4" s="158"/>
    </row>
    <row r="5" spans="1:9" x14ac:dyDescent="0.25">
      <c r="A5" s="156" t="s">
        <v>2</v>
      </c>
      <c r="B5" s="156"/>
      <c r="C5" s="156"/>
      <c r="D5" s="156"/>
      <c r="E5" s="156"/>
      <c r="F5" s="156"/>
      <c r="G5" s="156"/>
      <c r="H5" s="156"/>
      <c r="I5" s="156"/>
    </row>
    <row r="6" spans="1:9" ht="15.75" thickBot="1" x14ac:dyDescent="0.3">
      <c r="A6" s="156"/>
      <c r="B6" s="156"/>
      <c r="C6" s="156"/>
      <c r="D6" s="156"/>
      <c r="E6" s="156"/>
      <c r="F6" s="156"/>
      <c r="G6" s="156"/>
      <c r="H6" s="156"/>
      <c r="I6" s="156"/>
    </row>
    <row r="7" spans="1:9" s="5" customFormat="1" ht="45.75" thickBot="1" x14ac:dyDescent="0.25">
      <c r="A7" s="2" t="s">
        <v>37</v>
      </c>
      <c r="B7" s="33" t="s">
        <v>39</v>
      </c>
      <c r="C7" s="33" t="s">
        <v>38</v>
      </c>
      <c r="D7" s="33" t="s">
        <v>3</v>
      </c>
      <c r="E7" s="33" t="s">
        <v>4</v>
      </c>
      <c r="F7" s="33" t="s">
        <v>5</v>
      </c>
      <c r="G7" s="33" t="s">
        <v>6</v>
      </c>
      <c r="H7" s="3" t="s">
        <v>7</v>
      </c>
      <c r="I7" s="4" t="s">
        <v>36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6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42240542</v>
      </c>
      <c r="C9" s="7">
        <v>42240542</v>
      </c>
      <c r="D9" s="7">
        <v>0</v>
      </c>
      <c r="E9" s="7">
        <v>39288900</v>
      </c>
      <c r="F9" s="7">
        <v>0</v>
      </c>
      <c r="G9" s="7">
        <f t="shared" si="0"/>
        <v>39288900</v>
      </c>
      <c r="H9" s="7">
        <f t="shared" si="1"/>
        <v>2951642</v>
      </c>
      <c r="I9" s="36">
        <f t="shared" si="2"/>
        <v>6.9876991635192565E-2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42240542</v>
      </c>
      <c r="C10" s="11">
        <f t="shared" si="3"/>
        <v>42240542</v>
      </c>
      <c r="D10" s="11">
        <f t="shared" si="3"/>
        <v>0</v>
      </c>
      <c r="E10" s="11">
        <f t="shared" si="3"/>
        <v>39288900</v>
      </c>
      <c r="F10" s="11">
        <f t="shared" si="3"/>
        <v>0</v>
      </c>
      <c r="G10" s="11">
        <f t="shared" si="0"/>
        <v>39288900</v>
      </c>
      <c r="H10" s="11">
        <f t="shared" si="1"/>
        <v>2951642</v>
      </c>
      <c r="I10" s="37">
        <f t="shared" si="2"/>
        <v>6.9876991635192565E-2</v>
      </c>
    </row>
    <row r="11" spans="1:9" s="5" customFormat="1" x14ac:dyDescent="0.2">
      <c r="A11" s="28" t="s">
        <v>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  <c r="H11" s="14">
        <f t="shared" si="1"/>
        <v>0</v>
      </c>
      <c r="I11" s="38" t="str">
        <f t="shared" si="2"/>
        <v>NA</v>
      </c>
    </row>
    <row r="12" spans="1:9" s="5" customFormat="1" x14ac:dyDescent="0.2">
      <c r="A12" s="29" t="s">
        <v>25</v>
      </c>
      <c r="B12" s="9">
        <v>42240542</v>
      </c>
      <c r="C12" s="9">
        <v>42240542</v>
      </c>
      <c r="D12" s="9">
        <v>0</v>
      </c>
      <c r="E12" s="9">
        <v>39288900</v>
      </c>
      <c r="F12" s="9">
        <v>0</v>
      </c>
      <c r="G12" s="9">
        <f t="shared" ref="G12" si="4">SUM(E12:F12)</f>
        <v>39288900</v>
      </c>
      <c r="H12" s="9">
        <f t="shared" ref="H12" si="5">C12-G12</f>
        <v>2951642</v>
      </c>
      <c r="I12" s="39">
        <f t="shared" ref="I12" si="6">IF(C12=0,"NA",H12/C12)</f>
        <v>6.9876991635192565E-2</v>
      </c>
    </row>
    <row r="13" spans="1:9" s="5" customFormat="1" ht="24.95" customHeight="1" x14ac:dyDescent="0.2">
      <c r="A13" s="10" t="s">
        <v>27</v>
      </c>
      <c r="B13" s="11">
        <f t="shared" ref="B13:F13" si="7">SUM(B12:B12)</f>
        <v>42240542</v>
      </c>
      <c r="C13" s="11">
        <f t="shared" si="7"/>
        <v>42240542</v>
      </c>
      <c r="D13" s="11">
        <f t="shared" si="7"/>
        <v>0</v>
      </c>
      <c r="E13" s="11">
        <f t="shared" si="7"/>
        <v>39288900</v>
      </c>
      <c r="F13" s="11">
        <f t="shared" si="7"/>
        <v>0</v>
      </c>
      <c r="G13" s="11">
        <f t="shared" ref="G13" si="8">SUM(E13:F13)</f>
        <v>39288900</v>
      </c>
      <c r="H13" s="11">
        <f t="shared" ref="H13" si="9">C13-G13</f>
        <v>2951642</v>
      </c>
      <c r="I13" s="37">
        <f t="shared" ref="I13" si="10">IF(C13=0,"NA",H13/C13)</f>
        <v>6.9876991635192565E-2</v>
      </c>
    </row>
    <row r="14" spans="1:9" s="5" customFormat="1" x14ac:dyDescent="0.2">
      <c r="A14" s="13"/>
      <c r="B14" s="14"/>
      <c r="C14" s="14"/>
      <c r="D14" s="14"/>
      <c r="E14" s="14"/>
      <c r="F14" s="14"/>
      <c r="G14" s="14"/>
      <c r="H14" s="15"/>
      <c r="I14" s="16"/>
    </row>
    <row r="15" spans="1:9" s="5" customFormat="1" x14ac:dyDescent="0.2">
      <c r="A15" s="6" t="s">
        <v>28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7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8"/>
    </row>
    <row r="17" spans="1:10" s="5" customFormat="1" ht="24.95" customHeight="1" x14ac:dyDescent="0.2">
      <c r="A17" s="19" t="s">
        <v>35</v>
      </c>
      <c r="B17" s="21"/>
      <c r="C17" s="21"/>
      <c r="D17" s="21"/>
      <c r="E17" s="21">
        <v>47604.51</v>
      </c>
      <c r="F17" s="21"/>
      <c r="G17" s="21">
        <f>E17</f>
        <v>47604.51</v>
      </c>
      <c r="H17" s="20"/>
      <c r="I17" s="22"/>
    </row>
    <row r="18" spans="1:10" s="5" customFormat="1" ht="24.95" customHeight="1" thickBot="1" x14ac:dyDescent="0.25">
      <c r="A18" s="23" t="s">
        <v>29</v>
      </c>
      <c r="B18" s="25"/>
      <c r="C18" s="25"/>
      <c r="D18" s="25"/>
      <c r="E18" s="25">
        <f>SUM(E15:E17)</f>
        <v>47604.51</v>
      </c>
      <c r="F18" s="25"/>
      <c r="G18" s="25">
        <f>SUM(G15:G17)</f>
        <v>47604.51</v>
      </c>
      <c r="H18" s="24"/>
      <c r="I18" s="26"/>
    </row>
    <row r="19" spans="1:10" s="5" customFormat="1" x14ac:dyDescent="0.2">
      <c r="B19" s="34"/>
      <c r="C19" s="34"/>
      <c r="D19" s="34"/>
      <c r="E19" s="34"/>
      <c r="F19" s="34"/>
      <c r="G19" s="34"/>
    </row>
    <row r="20" spans="1:10" s="5" customFormat="1" x14ac:dyDescent="0.2">
      <c r="A20" s="32"/>
      <c r="B20" s="34"/>
      <c r="C20" s="34"/>
      <c r="D20" s="34"/>
      <c r="E20" s="34"/>
      <c r="F20" s="34"/>
      <c r="G20" s="34"/>
    </row>
    <row r="21" spans="1:10" s="5" customFormat="1" x14ac:dyDescent="0.2">
      <c r="B21" s="34"/>
      <c r="C21" s="34"/>
      <c r="D21" s="34"/>
      <c r="E21" s="34"/>
      <c r="F21" s="34"/>
      <c r="G21" s="34"/>
      <c r="H21" s="34"/>
      <c r="I21" s="34"/>
    </row>
    <row r="22" spans="1:10" x14ac:dyDescent="0.25">
      <c r="H22" s="31"/>
      <c r="I22" s="31"/>
    </row>
    <row r="24" spans="1:10" x14ac:dyDescent="0.25">
      <c r="H24" s="31"/>
      <c r="I24" s="31"/>
      <c r="J24" s="31"/>
    </row>
    <row r="26" spans="1:10" x14ac:dyDescent="0.25">
      <c r="H26" s="31"/>
      <c r="I26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1" bestFit="1" customWidth="1"/>
    <col min="4" max="4" width="13.42578125" style="31" bestFit="1" customWidth="1"/>
    <col min="5" max="5" width="14.5703125" style="31" bestFit="1" customWidth="1"/>
    <col min="6" max="6" width="17.5703125" style="31" customWidth="1"/>
    <col min="7" max="7" width="14.5703125" style="31" bestFit="1" customWidth="1"/>
    <col min="8" max="8" width="14.28515625" style="31" bestFit="1" customWidth="1"/>
    <col min="9" max="9" width="14.85546875" style="1" customWidth="1"/>
    <col min="10" max="10" width="3.5703125" style="49" customWidth="1"/>
    <col min="11" max="11" width="29.7109375" style="1" bestFit="1" customWidth="1"/>
    <col min="12" max="13" width="14.5703125" style="140" bestFit="1" customWidth="1"/>
    <col min="14" max="14" width="12.85546875" style="140" bestFit="1" customWidth="1"/>
    <col min="15" max="15" width="13.5703125" style="140" bestFit="1" customWidth="1"/>
    <col min="16" max="16" width="12.42578125" style="140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  <c r="J1" s="41"/>
    </row>
    <row r="2" spans="1:20" ht="18.75" x14ac:dyDescent="0.3">
      <c r="A2" s="157" t="s">
        <v>44</v>
      </c>
      <c r="B2" s="157"/>
      <c r="C2" s="157"/>
      <c r="D2" s="157"/>
      <c r="E2" s="157"/>
      <c r="F2" s="157"/>
      <c r="G2" s="157"/>
      <c r="H2" s="157"/>
      <c r="I2" s="157"/>
      <c r="J2" s="42"/>
    </row>
    <row r="3" spans="1:20" x14ac:dyDescent="0.25">
      <c r="A3" s="156" t="s">
        <v>1</v>
      </c>
      <c r="B3" s="156"/>
      <c r="C3" s="156"/>
      <c r="D3" s="156"/>
      <c r="E3" s="156"/>
      <c r="F3" s="156"/>
      <c r="G3" s="156"/>
      <c r="H3" s="156"/>
      <c r="I3" s="156"/>
      <c r="J3" s="41"/>
    </row>
    <row r="4" spans="1:20" x14ac:dyDescent="0.25">
      <c r="A4" s="158">
        <v>44742</v>
      </c>
      <c r="B4" s="158"/>
      <c r="C4" s="158"/>
      <c r="D4" s="158"/>
      <c r="E4" s="158"/>
      <c r="F4" s="158"/>
      <c r="G4" s="158"/>
      <c r="H4" s="158"/>
      <c r="I4" s="158"/>
      <c r="J4" s="43"/>
    </row>
    <row r="5" spans="1:20" x14ac:dyDescent="0.25">
      <c r="A5" s="156" t="s">
        <v>2</v>
      </c>
      <c r="B5" s="156"/>
      <c r="C5" s="156"/>
      <c r="D5" s="156"/>
      <c r="E5" s="156"/>
      <c r="F5" s="156"/>
      <c r="G5" s="156"/>
      <c r="H5" s="156"/>
      <c r="I5" s="156"/>
      <c r="J5" s="41"/>
    </row>
    <row r="6" spans="1:20" ht="15.75" thickBot="1" x14ac:dyDescent="0.3">
      <c r="A6" s="156"/>
      <c r="B6" s="156"/>
      <c r="C6" s="156"/>
      <c r="D6" s="156"/>
      <c r="E6" s="156"/>
      <c r="F6" s="156"/>
      <c r="G6" s="156"/>
      <c r="H6" s="156"/>
      <c r="I6" s="156"/>
      <c r="J6" s="41"/>
    </row>
    <row r="7" spans="1:20" s="5" customFormat="1" ht="45.75" thickBot="1" x14ac:dyDescent="0.25">
      <c r="A7" s="2" t="s">
        <v>37</v>
      </c>
      <c r="B7" s="33" t="s">
        <v>39</v>
      </c>
      <c r="C7" s="33" t="s">
        <v>38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36</v>
      </c>
      <c r="J7" s="44"/>
      <c r="L7" s="141"/>
      <c r="M7" s="141"/>
      <c r="N7" s="141"/>
      <c r="O7" s="141"/>
      <c r="P7" s="141"/>
    </row>
    <row r="8" spans="1:20" s="5" customFormat="1" x14ac:dyDescent="0.2">
      <c r="A8" s="6" t="s">
        <v>8</v>
      </c>
      <c r="B8" s="7">
        <v>120000000</v>
      </c>
      <c r="C8" s="7">
        <v>120025698</v>
      </c>
      <c r="D8" s="7">
        <v>12677523.91</v>
      </c>
      <c r="E8" s="7">
        <v>133887901.8</v>
      </c>
      <c r="F8" s="7">
        <v>0</v>
      </c>
      <c r="G8" s="7">
        <f t="shared" ref="G8:G18" si="0">SUM(E8:F8)</f>
        <v>133887901.8</v>
      </c>
      <c r="H8" s="7">
        <f t="shared" ref="H8:H11" si="1">C8-G8</f>
        <v>-13862203.799999997</v>
      </c>
      <c r="I8" s="36">
        <f>IF(C8=0,"NA",H8/C8)</f>
        <v>-0.11549363203869889</v>
      </c>
      <c r="J8" s="45"/>
      <c r="K8"/>
      <c r="L8" s="142"/>
      <c r="M8" s="142"/>
      <c r="N8" s="142"/>
      <c r="O8" s="142"/>
      <c r="P8" s="142"/>
    </row>
    <row r="9" spans="1:20" s="5" customFormat="1" x14ac:dyDescent="0.2">
      <c r="A9" s="6" t="s">
        <v>9</v>
      </c>
      <c r="B9" s="7">
        <v>2050000</v>
      </c>
      <c r="C9" s="7">
        <v>2050000</v>
      </c>
      <c r="D9" s="7">
        <v>7170.86</v>
      </c>
      <c r="E9" s="7">
        <v>30301.599999999999</v>
      </c>
      <c r="F9" s="7">
        <v>0</v>
      </c>
      <c r="G9" s="7">
        <f t="shared" si="0"/>
        <v>30301.599999999999</v>
      </c>
      <c r="H9" s="7">
        <f t="shared" si="1"/>
        <v>2019698.4</v>
      </c>
      <c r="I9" s="36">
        <f t="shared" ref="I9:I19" si="2">IF(C9=0,"NA",H9/C9)</f>
        <v>0.985218731707317</v>
      </c>
      <c r="J9" s="45"/>
      <c r="K9"/>
      <c r="L9" s="142"/>
      <c r="M9" s="142"/>
      <c r="N9" s="142"/>
      <c r="O9" s="142"/>
      <c r="P9" s="142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1042486.2999999999</v>
      </c>
      <c r="E10" s="7">
        <v>3616741.2199999997</v>
      </c>
      <c r="F10" s="7">
        <v>0</v>
      </c>
      <c r="G10" s="7">
        <f t="shared" si="0"/>
        <v>3616741.2199999997</v>
      </c>
      <c r="H10" s="7">
        <f t="shared" si="1"/>
        <v>-3616741.2199999997</v>
      </c>
      <c r="I10" s="36" t="str">
        <f t="shared" si="2"/>
        <v>NA</v>
      </c>
      <c r="J10" s="45"/>
      <c r="K10"/>
      <c r="L10" s="142"/>
      <c r="M10" s="142"/>
      <c r="N10" s="142"/>
      <c r="O10" s="142"/>
      <c r="P10" s="142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67616.399999999994</v>
      </c>
      <c r="F11" s="7">
        <v>0</v>
      </c>
      <c r="G11" s="7">
        <f t="shared" si="0"/>
        <v>67616.399999999994</v>
      </c>
      <c r="H11" s="7">
        <f t="shared" si="1"/>
        <v>-67616.399999999994</v>
      </c>
      <c r="I11" s="36" t="str">
        <f t="shared" si="2"/>
        <v>NA</v>
      </c>
      <c r="J11" s="45"/>
      <c r="K11"/>
      <c r="L11" s="142"/>
      <c r="M11" s="142"/>
      <c r="N11" s="142"/>
      <c r="O11" s="142"/>
      <c r="P11" s="142"/>
    </row>
    <row r="12" spans="1:20" s="5" customFormat="1" ht="24.95" customHeight="1" x14ac:dyDescent="0.2">
      <c r="A12" s="10" t="s">
        <v>12</v>
      </c>
      <c r="B12" s="11">
        <f>SUM(B8:B11)</f>
        <v>122050000</v>
      </c>
      <c r="C12" s="11">
        <f t="shared" ref="C12:F12" si="3">SUM(C8:C11)</f>
        <v>122075698</v>
      </c>
      <c r="D12" s="11">
        <f t="shared" si="3"/>
        <v>13727181.07</v>
      </c>
      <c r="E12" s="11">
        <f t="shared" si="3"/>
        <v>137602561.02000001</v>
      </c>
      <c r="F12" s="11">
        <f t="shared" si="3"/>
        <v>0</v>
      </c>
      <c r="G12" s="11">
        <f t="shared" ref="G12:H12" si="4">SUM(G8:G11)</f>
        <v>137602561.02000001</v>
      </c>
      <c r="H12" s="11">
        <f t="shared" si="4"/>
        <v>-15526863.019999998</v>
      </c>
      <c r="I12" s="37">
        <f t="shared" si="2"/>
        <v>-0.12719045046951111</v>
      </c>
      <c r="J12" s="46"/>
      <c r="L12" s="141"/>
      <c r="M12" s="141"/>
      <c r="N12" s="141"/>
      <c r="O12" s="141"/>
      <c r="P12" s="141"/>
    </row>
    <row r="13" spans="1:20" s="5" customFormat="1" x14ac:dyDescent="0.2">
      <c r="A13" s="13" t="s">
        <v>13</v>
      </c>
      <c r="B13" s="14">
        <v>0</v>
      </c>
      <c r="C13" s="14">
        <v>5000</v>
      </c>
      <c r="D13" s="14">
        <v>61755.32</v>
      </c>
      <c r="E13" s="14">
        <v>867039.5</v>
      </c>
      <c r="F13" s="14">
        <v>2173051.5099999998</v>
      </c>
      <c r="G13" s="7">
        <f t="shared" si="0"/>
        <v>3040091.01</v>
      </c>
      <c r="H13" s="7">
        <f t="shared" ref="H13" si="5">C13-G13</f>
        <v>-3035091.01</v>
      </c>
      <c r="I13" s="40">
        <f t="shared" si="2"/>
        <v>-607.01820199999997</v>
      </c>
      <c r="J13" s="45"/>
      <c r="L13" s="141"/>
      <c r="M13" s="141"/>
      <c r="N13" s="141"/>
      <c r="O13" s="141"/>
      <c r="P13" s="141"/>
    </row>
    <row r="14" spans="1:20" s="5" customFormat="1" x14ac:dyDescent="0.25">
      <c r="A14" s="6" t="s">
        <v>21</v>
      </c>
      <c r="B14" s="7">
        <v>45882.429999999993</v>
      </c>
      <c r="C14" s="7">
        <v>1200000.06</v>
      </c>
      <c r="D14" s="7">
        <v>0</v>
      </c>
      <c r="E14" s="7">
        <v>51343.499999999993</v>
      </c>
      <c r="F14" s="7">
        <v>0</v>
      </c>
      <c r="G14" s="7">
        <f t="shared" si="0"/>
        <v>51343.499999999993</v>
      </c>
      <c r="H14" s="7">
        <f t="shared" ref="H14" si="6">C14-G14</f>
        <v>1148656.56</v>
      </c>
      <c r="I14" s="40">
        <f t="shared" ref="I14" si="7">IF(C14=0,"NA",H14/C14)</f>
        <v>0.95721375213931237</v>
      </c>
      <c r="J14" s="45"/>
      <c r="K14" s="1"/>
      <c r="L14" s="140"/>
      <c r="M14" s="140"/>
      <c r="N14" s="140"/>
      <c r="O14" s="140"/>
      <c r="P14" s="140"/>
      <c r="Q14" s="1"/>
      <c r="R14" s="1"/>
      <c r="S14" s="1"/>
    </row>
    <row r="15" spans="1:20" s="5" customFormat="1" x14ac:dyDescent="0.25">
      <c r="A15" s="6" t="s">
        <v>22</v>
      </c>
      <c r="B15" s="7">
        <v>1000000</v>
      </c>
      <c r="C15" s="7">
        <v>1000000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ref="H15" si="8">C15-G15</f>
        <v>1000000</v>
      </c>
      <c r="I15" s="40">
        <f t="shared" ref="I15" si="9">IF(C15=0,"NA",H15/C15)</f>
        <v>1</v>
      </c>
      <c r="J15" s="45"/>
      <c r="K15" s="1"/>
      <c r="L15" s="140"/>
      <c r="M15" s="140"/>
      <c r="N15" s="140"/>
      <c r="O15" s="140"/>
      <c r="P15" s="140"/>
      <c r="Q15" s="1"/>
      <c r="R15" s="1"/>
      <c r="S15" s="1"/>
    </row>
    <row r="16" spans="1:20" s="5" customFormat="1" x14ac:dyDescent="0.25">
      <c r="A16" s="6" t="s">
        <v>34</v>
      </c>
      <c r="B16" s="7">
        <v>104129233.66</v>
      </c>
      <c r="C16" s="7">
        <v>104592488.64999998</v>
      </c>
      <c r="D16" s="7">
        <v>3157108.0399999996</v>
      </c>
      <c r="E16" s="7">
        <v>41193805.840000004</v>
      </c>
      <c r="F16" s="7">
        <v>2252169.9300000002</v>
      </c>
      <c r="G16" s="7">
        <f t="shared" si="0"/>
        <v>43445975.770000003</v>
      </c>
      <c r="H16" s="7">
        <f>C16-G16</f>
        <v>61146512.879999973</v>
      </c>
      <c r="I16" s="40">
        <f t="shared" si="2"/>
        <v>0.58461667438295517</v>
      </c>
      <c r="J16" s="45"/>
      <c r="K16" s="1"/>
      <c r="L16" s="140"/>
      <c r="M16" s="140"/>
      <c r="N16" s="140"/>
      <c r="O16" s="140"/>
      <c r="P16" s="140"/>
      <c r="Q16" s="1"/>
      <c r="R16" s="1"/>
      <c r="S16" s="1"/>
      <c r="T16" s="1"/>
    </row>
    <row r="17" spans="1:20" s="5" customFormat="1" x14ac:dyDescent="0.25">
      <c r="A17" s="6" t="s">
        <v>26</v>
      </c>
      <c r="B17" s="7">
        <v>42240542</v>
      </c>
      <c r="C17" s="7">
        <v>42240542</v>
      </c>
      <c r="D17" s="7">
        <v>0</v>
      </c>
      <c r="E17" s="7">
        <v>39356516.399999999</v>
      </c>
      <c r="F17" s="7">
        <v>0</v>
      </c>
      <c r="G17" s="7">
        <f t="shared" si="0"/>
        <v>39356516.399999999</v>
      </c>
      <c r="H17" s="7">
        <f>C17-G17</f>
        <v>2884025.6000000015</v>
      </c>
      <c r="I17" s="40">
        <f t="shared" si="2"/>
        <v>6.8276245129619814E-2</v>
      </c>
      <c r="J17" s="45"/>
      <c r="K17" s="1"/>
      <c r="L17" s="140"/>
      <c r="M17" s="140"/>
      <c r="N17" s="140"/>
      <c r="O17" s="140"/>
      <c r="P17" s="140"/>
      <c r="Q17" s="1"/>
      <c r="R17" s="1"/>
      <c r="S17" s="1"/>
      <c r="T17" s="1"/>
    </row>
    <row r="18" spans="1:20" s="5" customFormat="1" x14ac:dyDescent="0.25">
      <c r="A18" s="6" t="s">
        <v>25</v>
      </c>
      <c r="B18" s="7">
        <v>0</v>
      </c>
      <c r="C18" s="7">
        <v>0</v>
      </c>
      <c r="D18" s="7">
        <v>0</v>
      </c>
      <c r="E18" s="7">
        <v>2677557.42</v>
      </c>
      <c r="F18" s="7">
        <v>0</v>
      </c>
      <c r="G18" s="7">
        <f t="shared" si="0"/>
        <v>2677557.42</v>
      </c>
      <c r="H18" s="7">
        <f>C18-G18</f>
        <v>-2677557.42</v>
      </c>
      <c r="I18" s="40" t="str">
        <f t="shared" si="2"/>
        <v>NA</v>
      </c>
      <c r="J18" s="46"/>
      <c r="K18" s="1"/>
      <c r="L18" s="140"/>
      <c r="M18" s="140"/>
      <c r="N18" s="140"/>
      <c r="O18" s="140"/>
      <c r="P18" s="140"/>
      <c r="Q18" s="1"/>
      <c r="R18" s="1"/>
      <c r="S18" s="1"/>
      <c r="T18" s="1"/>
    </row>
    <row r="19" spans="1:20" s="5" customFormat="1" x14ac:dyDescent="0.25">
      <c r="A19" s="10" t="s">
        <v>27</v>
      </c>
      <c r="B19" s="11">
        <f t="shared" ref="B19:H19" si="10">SUM(B13:B18)</f>
        <v>147415658.09</v>
      </c>
      <c r="C19" s="11">
        <f t="shared" si="10"/>
        <v>149038030.70999998</v>
      </c>
      <c r="D19" s="11">
        <f t="shared" si="10"/>
        <v>3218863.3599999994</v>
      </c>
      <c r="E19" s="11">
        <f t="shared" si="10"/>
        <v>84146262.660000011</v>
      </c>
      <c r="F19" s="11">
        <f t="shared" si="10"/>
        <v>4425221.4399999995</v>
      </c>
      <c r="G19" s="11">
        <f t="shared" si="10"/>
        <v>88571484.100000009</v>
      </c>
      <c r="H19" s="11">
        <f t="shared" si="10"/>
        <v>60466546.60999997</v>
      </c>
      <c r="I19" s="37">
        <f t="shared" si="2"/>
        <v>0.40571219521584068</v>
      </c>
      <c r="J19" s="45"/>
      <c r="K19" s="1"/>
      <c r="L19" s="140"/>
      <c r="M19" s="140"/>
      <c r="N19" s="140"/>
      <c r="O19" s="140"/>
      <c r="P19" s="140"/>
      <c r="Q19" s="1"/>
      <c r="R19" s="1"/>
      <c r="S19" s="1"/>
      <c r="T19" s="1"/>
    </row>
    <row r="20" spans="1:20" s="5" customFormat="1" x14ac:dyDescent="0.25">
      <c r="A20" s="13"/>
      <c r="B20" s="14"/>
      <c r="C20" s="14"/>
      <c r="D20" s="14"/>
      <c r="E20" s="14"/>
      <c r="F20" s="14"/>
      <c r="G20" s="14"/>
      <c r="H20" s="14"/>
      <c r="I20" s="16"/>
      <c r="J20" s="46"/>
      <c r="K20" s="1"/>
      <c r="L20" s="140"/>
      <c r="M20" s="140"/>
      <c r="N20" s="140"/>
      <c r="O20" s="140"/>
      <c r="P20" s="140"/>
      <c r="Q20" s="1"/>
      <c r="R20" s="1"/>
      <c r="S20" s="1"/>
      <c r="T20" s="1"/>
    </row>
    <row r="21" spans="1:20" s="5" customFormat="1" x14ac:dyDescent="0.25">
      <c r="A21" s="6" t="s">
        <v>28</v>
      </c>
      <c r="B21" s="7">
        <f>B12-B19</f>
        <v>-25365658.090000004</v>
      </c>
      <c r="C21" s="7">
        <f>C12-C19</f>
        <v>-26962332.709999979</v>
      </c>
      <c r="D21" s="7">
        <f>D12-D19</f>
        <v>10508317.710000001</v>
      </c>
      <c r="E21" s="7">
        <f>E12-E19</f>
        <v>53456298.359999999</v>
      </c>
      <c r="F21" s="7"/>
      <c r="G21" s="7">
        <f>G12-G19</f>
        <v>49031076.920000002</v>
      </c>
      <c r="H21" s="7">
        <f>H12-H19</f>
        <v>-75993409.629999965</v>
      </c>
      <c r="I21" s="17"/>
      <c r="J21" s="47"/>
      <c r="K21" s="1"/>
      <c r="L21" s="140"/>
      <c r="M21" s="140"/>
      <c r="N21" s="140"/>
      <c r="O21" s="140"/>
      <c r="P21" s="140"/>
      <c r="Q21" s="1"/>
      <c r="R21" s="1"/>
      <c r="S21" s="1"/>
      <c r="T21" s="1"/>
    </row>
    <row r="22" spans="1:20" s="5" customFormat="1" ht="24.95" customHeight="1" x14ac:dyDescent="0.25">
      <c r="A22" s="8"/>
      <c r="B22" s="9"/>
      <c r="C22" s="9"/>
      <c r="D22" s="9"/>
      <c r="E22" s="9"/>
      <c r="F22" s="9"/>
      <c r="G22" s="9"/>
      <c r="H22" s="9"/>
      <c r="I22" s="18"/>
      <c r="J22" s="48"/>
      <c r="K22" s="1"/>
      <c r="L22" s="140"/>
      <c r="M22" s="140"/>
      <c r="N22" s="140"/>
      <c r="O22" s="140"/>
      <c r="P22" s="140"/>
      <c r="Q22" s="1"/>
      <c r="R22" s="1"/>
      <c r="S22" s="1"/>
      <c r="T22" s="1"/>
    </row>
    <row r="23" spans="1:20" s="5" customFormat="1" ht="24.95" customHeight="1" x14ac:dyDescent="0.25">
      <c r="A23" s="19" t="s">
        <v>35</v>
      </c>
      <c r="B23" s="21"/>
      <c r="C23" s="21"/>
      <c r="D23" s="21"/>
      <c r="E23" s="21">
        <v>331536216.77999997</v>
      </c>
      <c r="F23" s="21"/>
      <c r="G23" s="21">
        <f>E23</f>
        <v>331536216.77999997</v>
      </c>
      <c r="H23" s="21"/>
      <c r="I23" s="22"/>
      <c r="J23" s="48"/>
      <c r="K23" s="1"/>
      <c r="L23" s="140"/>
      <c r="M23" s="140"/>
      <c r="N23" s="140"/>
      <c r="O23" s="140"/>
      <c r="P23" s="140"/>
      <c r="Q23" s="1"/>
      <c r="R23" s="1"/>
      <c r="S23" s="1"/>
      <c r="T23" s="1"/>
    </row>
    <row r="24" spans="1:20" s="5" customFormat="1" ht="15.75" thickBot="1" x14ac:dyDescent="0.3">
      <c r="A24" s="23" t="s">
        <v>29</v>
      </c>
      <c r="B24" s="25"/>
      <c r="C24" s="25"/>
      <c r="D24" s="25"/>
      <c r="E24" s="25">
        <f>SUM(E21:E23)</f>
        <v>384992515.13999999</v>
      </c>
      <c r="F24" s="25"/>
      <c r="G24" s="25">
        <f>SUM(G21:G23)</f>
        <v>380567293.69999999</v>
      </c>
      <c r="H24" s="25"/>
      <c r="I24" s="26"/>
      <c r="J24" s="47"/>
      <c r="K24" s="1"/>
      <c r="L24" s="140"/>
      <c r="M24" s="140"/>
      <c r="N24" s="140"/>
      <c r="O24" s="140"/>
      <c r="P24" s="140"/>
      <c r="Q24" s="1"/>
      <c r="R24" s="1"/>
      <c r="S24" s="1"/>
      <c r="T24" s="1"/>
    </row>
    <row r="25" spans="1:20" x14ac:dyDescent="0.25">
      <c r="A25" s="5"/>
      <c r="B25" s="34"/>
      <c r="C25" s="34"/>
      <c r="D25" s="34"/>
      <c r="E25" s="34"/>
      <c r="F25" s="34"/>
      <c r="G25" s="34"/>
      <c r="H25" s="34"/>
      <c r="I25" s="5"/>
    </row>
    <row r="27" spans="1:20" x14ac:dyDescent="0.25">
      <c r="I27" s="31"/>
    </row>
    <row r="29" spans="1:20" x14ac:dyDescent="0.25">
      <c r="I29" s="31"/>
    </row>
    <row r="30" spans="1:20" x14ac:dyDescent="0.25">
      <c r="I30" s="31"/>
    </row>
    <row r="32" spans="1:20" x14ac:dyDescent="0.25">
      <c r="I32" s="31"/>
    </row>
    <row r="33" spans="9:9" x14ac:dyDescent="0.25">
      <c r="I33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2"/>
  <sheetViews>
    <sheetView workbookViewId="0">
      <selection activeCell="A18" sqref="A18:I18"/>
    </sheetView>
  </sheetViews>
  <sheetFormatPr defaultRowHeight="15" x14ac:dyDescent="0.25"/>
  <cols>
    <col min="1" max="1" width="49.7109375" style="1" bestFit="1" customWidth="1"/>
    <col min="2" max="3" width="15" style="31" bestFit="1" customWidth="1"/>
    <col min="4" max="5" width="13.28515625" style="31" bestFit="1" customWidth="1"/>
    <col min="6" max="6" width="16.85546875" style="31" customWidth="1"/>
    <col min="7" max="7" width="13.5703125" style="31" bestFit="1" customWidth="1"/>
    <col min="8" max="8" width="13.28515625" style="31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52.28515625" style="1" bestFit="1" customWidth="1"/>
    <col min="13" max="13" width="12" style="1" bestFit="1" customWidth="1"/>
    <col min="14" max="14" width="10" style="1" bestFit="1" customWidth="1"/>
    <col min="15" max="15" width="11" style="1" bestFit="1" customWidth="1"/>
    <col min="16" max="16" width="8" style="1" bestFit="1" customWidth="1"/>
    <col min="17" max="16384" width="9.140625" style="1"/>
  </cols>
  <sheetData>
    <row r="1" spans="1:18" x14ac:dyDescent="0.25">
      <c r="A1" s="156" t="s">
        <v>0</v>
      </c>
      <c r="B1" s="156"/>
      <c r="C1" s="156"/>
      <c r="D1" s="156"/>
      <c r="E1" s="156"/>
      <c r="F1" s="156"/>
      <c r="G1" s="156"/>
      <c r="H1" s="156"/>
      <c r="I1" s="156"/>
    </row>
    <row r="2" spans="1:18" ht="18.75" x14ac:dyDescent="0.3">
      <c r="A2" s="157" t="s">
        <v>45</v>
      </c>
      <c r="B2" s="157"/>
      <c r="C2" s="157"/>
      <c r="D2" s="157"/>
      <c r="E2" s="157"/>
      <c r="F2" s="157"/>
      <c r="G2" s="157"/>
      <c r="H2" s="157"/>
      <c r="I2" s="157"/>
    </row>
    <row r="3" spans="1:18" x14ac:dyDescent="0.25">
      <c r="A3" s="156" t="s">
        <v>1</v>
      </c>
      <c r="B3" s="156"/>
      <c r="C3" s="156"/>
      <c r="D3" s="156"/>
      <c r="E3" s="156"/>
      <c r="F3" s="156"/>
      <c r="G3" s="156"/>
      <c r="H3" s="156"/>
      <c r="I3" s="156"/>
    </row>
    <row r="4" spans="1:18" x14ac:dyDescent="0.25">
      <c r="A4" s="158">
        <v>44742</v>
      </c>
      <c r="B4" s="158"/>
      <c r="C4" s="158"/>
      <c r="D4" s="158"/>
      <c r="E4" s="158"/>
      <c r="F4" s="158"/>
      <c r="G4" s="158"/>
      <c r="H4" s="158"/>
      <c r="I4" s="158"/>
    </row>
    <row r="5" spans="1:18" x14ac:dyDescent="0.25">
      <c r="A5" s="156" t="s">
        <v>2</v>
      </c>
      <c r="B5" s="156"/>
      <c r="C5" s="156"/>
      <c r="D5" s="156"/>
      <c r="E5" s="156"/>
      <c r="F5" s="156"/>
      <c r="G5" s="156"/>
      <c r="H5" s="156"/>
      <c r="I5" s="156"/>
    </row>
    <row r="6" spans="1:18" ht="15.75" thickBot="1" x14ac:dyDescent="0.3">
      <c r="A6" s="156"/>
      <c r="B6" s="156"/>
      <c r="C6" s="156"/>
      <c r="D6" s="156"/>
      <c r="E6" s="156"/>
      <c r="F6" s="156"/>
      <c r="G6" s="156"/>
      <c r="H6" s="156"/>
      <c r="I6" s="156"/>
    </row>
    <row r="7" spans="1:18" s="5" customFormat="1" ht="45.75" thickBot="1" x14ac:dyDescent="0.25">
      <c r="A7" s="2" t="s">
        <v>37</v>
      </c>
      <c r="B7" s="33" t="s">
        <v>39</v>
      </c>
      <c r="C7" s="33" t="s">
        <v>38</v>
      </c>
      <c r="D7" s="33" t="s">
        <v>3</v>
      </c>
      <c r="E7" s="33" t="s">
        <v>4</v>
      </c>
      <c r="F7" s="33" t="s">
        <v>5</v>
      </c>
      <c r="G7" s="33" t="s">
        <v>6</v>
      </c>
      <c r="H7" s="33" t="s">
        <v>7</v>
      </c>
      <c r="I7" s="4" t="s">
        <v>36</v>
      </c>
    </row>
    <row r="8" spans="1:18" s="5" customFormat="1" x14ac:dyDescent="0.2">
      <c r="A8" s="6" t="s">
        <v>8</v>
      </c>
      <c r="B8" s="7">
        <v>12431666.02</v>
      </c>
      <c r="C8" s="7">
        <v>12431666.02</v>
      </c>
      <c r="D8" s="7">
        <v>200</v>
      </c>
      <c r="E8" s="7">
        <v>277130.12</v>
      </c>
      <c r="F8" s="7">
        <v>0</v>
      </c>
      <c r="G8" s="7">
        <f t="shared" ref="G8:G17" si="0">SUM(E8:F8)</f>
        <v>277130.12</v>
      </c>
      <c r="H8" s="7">
        <f t="shared" ref="H8:H12" si="1">C8-G8</f>
        <v>12154535.9</v>
      </c>
      <c r="I8" s="40">
        <f>IF(C8=0,"NA",H8/C8)</f>
        <v>0.97770772480903578</v>
      </c>
    </row>
    <row r="9" spans="1:18" s="5" customFormat="1" x14ac:dyDescent="0.2">
      <c r="A9" s="6" t="s">
        <v>9</v>
      </c>
      <c r="B9" s="7">
        <v>85000</v>
      </c>
      <c r="C9" s="7">
        <v>85000</v>
      </c>
      <c r="D9" s="7">
        <v>4347.04</v>
      </c>
      <c r="E9" s="7">
        <v>10894.6</v>
      </c>
      <c r="F9" s="7">
        <v>0</v>
      </c>
      <c r="G9" s="7">
        <f t="shared" si="0"/>
        <v>10894.6</v>
      </c>
      <c r="H9" s="7">
        <f t="shared" si="1"/>
        <v>74105.399999999994</v>
      </c>
      <c r="I9" s="40">
        <f t="shared" ref="I9:I18" si="2">IF(C9=0,"NA",H9/C9)</f>
        <v>0.87182823529411757</v>
      </c>
    </row>
    <row r="10" spans="1:18" s="5" customFormat="1" x14ac:dyDescent="0.2">
      <c r="A10" s="6" t="s">
        <v>10</v>
      </c>
      <c r="B10" s="7">
        <v>1214494</v>
      </c>
      <c r="C10" s="7">
        <v>1214494</v>
      </c>
      <c r="D10" s="7">
        <v>131048</v>
      </c>
      <c r="E10" s="7">
        <v>3151241</v>
      </c>
      <c r="F10" s="7">
        <v>0</v>
      </c>
      <c r="G10" s="7">
        <f t="shared" si="0"/>
        <v>3151241</v>
      </c>
      <c r="H10" s="7">
        <f t="shared" si="1"/>
        <v>-1936747</v>
      </c>
      <c r="I10" s="40">
        <f t="shared" si="2"/>
        <v>-1.5946945806237001</v>
      </c>
    </row>
    <row r="11" spans="1:18" s="5" customFormat="1" x14ac:dyDescent="0.2">
      <c r="A11" s="6" t="s">
        <v>30</v>
      </c>
      <c r="B11" s="7">
        <v>46596116</v>
      </c>
      <c r="C11" s="7">
        <v>46596116</v>
      </c>
      <c r="D11" s="7">
        <v>2229356.33</v>
      </c>
      <c r="E11" s="7">
        <v>65052265.600000016</v>
      </c>
      <c r="F11" s="7">
        <v>0</v>
      </c>
      <c r="G11" s="7">
        <f t="shared" si="0"/>
        <v>65052265.600000016</v>
      </c>
      <c r="H11" s="7">
        <f t="shared" si="1"/>
        <v>-18456149.600000016</v>
      </c>
      <c r="I11" s="40">
        <f t="shared" si="2"/>
        <v>-0.39608772542329529</v>
      </c>
    </row>
    <row r="12" spans="1:18" s="5" customFormat="1" x14ac:dyDescent="0.2">
      <c r="A12" s="8" t="s">
        <v>11</v>
      </c>
      <c r="B12" s="7">
        <v>1222880</v>
      </c>
      <c r="C12" s="7">
        <v>1222880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1222880</v>
      </c>
      <c r="I12" s="40">
        <f t="shared" si="2"/>
        <v>1</v>
      </c>
    </row>
    <row r="13" spans="1:18" s="5" customFormat="1" ht="24.95" customHeight="1" x14ac:dyDescent="0.2">
      <c r="A13" s="10" t="s">
        <v>12</v>
      </c>
      <c r="B13" s="11">
        <f>SUM(B8:B12)</f>
        <v>61550156.019999996</v>
      </c>
      <c r="C13" s="11">
        <f t="shared" ref="C13:H13" si="3">SUM(C8:C12)</f>
        <v>61550156.019999996</v>
      </c>
      <c r="D13" s="11">
        <f t="shared" si="3"/>
        <v>2364951.37</v>
      </c>
      <c r="E13" s="11">
        <f t="shared" si="3"/>
        <v>68491531.320000023</v>
      </c>
      <c r="F13" s="11">
        <f t="shared" si="3"/>
        <v>0</v>
      </c>
      <c r="G13" s="11">
        <f t="shared" si="3"/>
        <v>68491531.320000023</v>
      </c>
      <c r="H13" s="11">
        <f t="shared" si="3"/>
        <v>-6941375.3000000156</v>
      </c>
      <c r="I13" s="37">
        <f t="shared" si="2"/>
        <v>-0.11277591721691978</v>
      </c>
    </row>
    <row r="14" spans="1:18" s="5" customFormat="1" x14ac:dyDescent="0.2">
      <c r="A14" s="6" t="s">
        <v>18</v>
      </c>
      <c r="B14" s="7">
        <v>851000</v>
      </c>
      <c r="C14" s="7">
        <v>757180</v>
      </c>
      <c r="D14" s="7">
        <v>-3900</v>
      </c>
      <c r="E14" s="7">
        <v>161180</v>
      </c>
      <c r="F14" s="7">
        <v>0</v>
      </c>
      <c r="G14" s="7">
        <f t="shared" si="0"/>
        <v>161180</v>
      </c>
      <c r="H14" s="7">
        <f t="shared" ref="H14:H17" si="4">C14-G14</f>
        <v>596000</v>
      </c>
      <c r="I14" s="40">
        <f t="shared" si="2"/>
        <v>0.78713119733748915</v>
      </c>
    </row>
    <row r="15" spans="1:18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40" t="str">
        <f t="shared" si="2"/>
        <v>NA</v>
      </c>
    </row>
    <row r="16" spans="1:18" s="5" customFormat="1" x14ac:dyDescent="0.25">
      <c r="A16" s="6" t="s">
        <v>31</v>
      </c>
      <c r="B16" s="7">
        <v>59476276.009999983</v>
      </c>
      <c r="C16" s="7">
        <v>60992976.009999983</v>
      </c>
      <c r="D16" s="7">
        <v>3801581.2899999991</v>
      </c>
      <c r="E16" s="7">
        <v>55375954.140000135</v>
      </c>
      <c r="F16" s="7">
        <v>3189434.4999999995</v>
      </c>
      <c r="G16" s="7">
        <f t="shared" si="0"/>
        <v>58565388.640000135</v>
      </c>
      <c r="H16" s="7">
        <f t="shared" si="4"/>
        <v>2427587.3699998483</v>
      </c>
      <c r="I16" s="40">
        <f t="shared" si="2"/>
        <v>3.9801097254245112E-2</v>
      </c>
      <c r="L16" s="1"/>
      <c r="M16" s="1"/>
      <c r="N16" s="1"/>
      <c r="O16" s="1"/>
      <c r="P16" s="1"/>
      <c r="Q16" s="1"/>
      <c r="R16" s="1"/>
    </row>
    <row r="17" spans="1:20" s="5" customFormat="1" x14ac:dyDescent="0.25">
      <c r="A17" s="6" t="s">
        <v>26</v>
      </c>
      <c r="B17" s="7">
        <v>1222880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40" t="str">
        <f t="shared" si="2"/>
        <v>NA</v>
      </c>
      <c r="L17" s="1"/>
      <c r="M17" s="1"/>
      <c r="N17" s="1"/>
      <c r="O17" s="1"/>
      <c r="P17" s="1"/>
      <c r="Q17" s="1"/>
      <c r="R17" s="1"/>
    </row>
    <row r="18" spans="1:20" s="5" customFormat="1" ht="24.95" customHeight="1" x14ac:dyDescent="0.25">
      <c r="A18" s="10" t="s">
        <v>27</v>
      </c>
      <c r="B18" s="11">
        <f>SUM(B14:B17)</f>
        <v>61550156.009999983</v>
      </c>
      <c r="C18" s="11">
        <f t="shared" ref="C18:G18" si="5">SUM(C14:C17)</f>
        <v>61750156.009999983</v>
      </c>
      <c r="D18" s="11">
        <f t="shared" si="5"/>
        <v>3797681.2899999991</v>
      </c>
      <c r="E18" s="11">
        <f t="shared" si="5"/>
        <v>55537134.140000135</v>
      </c>
      <c r="F18" s="11">
        <f t="shared" si="5"/>
        <v>3189434.4999999995</v>
      </c>
      <c r="G18" s="11">
        <f t="shared" si="5"/>
        <v>58726568.640000135</v>
      </c>
      <c r="H18" s="11">
        <f t="shared" ref="H18" si="6">SUM(H14:H17)</f>
        <v>3023587.3699998483</v>
      </c>
      <c r="I18" s="37">
        <f t="shared" si="2"/>
        <v>4.8964853943206245E-2</v>
      </c>
      <c r="L18" s="1"/>
      <c r="M18" s="1"/>
      <c r="N18" s="1"/>
      <c r="O18" s="1"/>
      <c r="P18" s="1"/>
      <c r="Q18" s="1"/>
      <c r="R18" s="1"/>
      <c r="S18" s="1"/>
    </row>
    <row r="19" spans="1:20" s="5" customFormat="1" x14ac:dyDescent="0.25">
      <c r="A19" s="13"/>
      <c r="B19" s="14"/>
      <c r="C19" s="14"/>
      <c r="D19" s="14"/>
      <c r="E19" s="14"/>
      <c r="F19" s="14"/>
      <c r="G19" s="14"/>
      <c r="H19" s="14"/>
      <c r="I19" s="16"/>
      <c r="L19" s="1"/>
      <c r="M19" s="1"/>
      <c r="N19" s="1"/>
      <c r="O19" s="1"/>
      <c r="P19" s="1"/>
      <c r="Q19" s="1"/>
      <c r="R19" s="1"/>
      <c r="S19" s="1"/>
    </row>
    <row r="20" spans="1:20" s="5" customFormat="1" x14ac:dyDescent="0.25">
      <c r="A20" s="6" t="s">
        <v>28</v>
      </c>
      <c r="B20" s="7">
        <f>B13-B18</f>
        <v>1.0000012814998627E-2</v>
      </c>
      <c r="C20" s="7">
        <f>C13-C18</f>
        <v>-199999.98999998719</v>
      </c>
      <c r="D20" s="7">
        <f>D13-D18</f>
        <v>-1432729.919999999</v>
      </c>
      <c r="E20" s="7">
        <f>E13-E18</f>
        <v>12954397.179999888</v>
      </c>
      <c r="F20" s="7"/>
      <c r="G20" s="7">
        <f>G13-G18</f>
        <v>9764962.6799998879</v>
      </c>
      <c r="H20" s="7">
        <f>H13-H18</f>
        <v>-9964962.669999864</v>
      </c>
      <c r="I20" s="17"/>
      <c r="L20" s="1"/>
      <c r="M20" s="1"/>
      <c r="N20" s="1"/>
      <c r="O20" s="1"/>
      <c r="P20" s="1"/>
      <c r="Q20" s="1"/>
      <c r="R20" s="1"/>
      <c r="S20" s="1"/>
    </row>
    <row r="21" spans="1:20" s="5" customFormat="1" x14ac:dyDescent="0.25">
      <c r="A21" s="8"/>
      <c r="B21" s="9"/>
      <c r="C21" s="9"/>
      <c r="D21" s="9"/>
      <c r="E21" s="9"/>
      <c r="F21" s="9"/>
      <c r="G21" s="9"/>
      <c r="H21" s="9"/>
      <c r="I21" s="18"/>
      <c r="L21" s="1"/>
      <c r="M21" s="1"/>
      <c r="N21" s="1"/>
      <c r="O21" s="1"/>
      <c r="P21" s="1"/>
      <c r="Q21" s="1"/>
      <c r="R21" s="1"/>
      <c r="S21" s="1"/>
    </row>
    <row r="22" spans="1:20" s="5" customFormat="1" x14ac:dyDescent="0.25">
      <c r="A22" s="19" t="s">
        <v>35</v>
      </c>
      <c r="B22" s="21"/>
      <c r="C22" s="21"/>
      <c r="D22" s="21"/>
      <c r="E22" s="21">
        <v>8711339.6999999993</v>
      </c>
      <c r="F22" s="21"/>
      <c r="G22" s="21">
        <f>E22</f>
        <v>8711339.6999999993</v>
      </c>
      <c r="H22" s="21"/>
      <c r="I22" s="22"/>
      <c r="L22" s="1"/>
      <c r="M22" s="1"/>
      <c r="N22" s="1"/>
      <c r="O22" s="1"/>
      <c r="P22" s="1"/>
      <c r="Q22" s="1"/>
      <c r="R22" s="1"/>
      <c r="S22" s="1"/>
    </row>
    <row r="23" spans="1:20" s="5" customFormat="1" ht="24.95" customHeight="1" thickBot="1" x14ac:dyDescent="0.3">
      <c r="A23" s="23" t="s">
        <v>29</v>
      </c>
      <c r="B23" s="25"/>
      <c r="C23" s="25"/>
      <c r="D23" s="25"/>
      <c r="E23" s="25">
        <f>SUM(E20:E22)</f>
        <v>21665736.879999887</v>
      </c>
      <c r="F23" s="25"/>
      <c r="G23" s="25">
        <f>SUM(G20:G22)</f>
        <v>18476302.379999887</v>
      </c>
      <c r="H23" s="25"/>
      <c r="I23" s="26"/>
      <c r="L23" s="1"/>
      <c r="M23" s="1"/>
      <c r="N23" s="1"/>
      <c r="O23" s="1"/>
      <c r="P23" s="1"/>
      <c r="Q23" s="1"/>
      <c r="R23" s="1"/>
      <c r="S23" s="1"/>
      <c r="T23" s="1"/>
    </row>
    <row r="24" spans="1:20" s="5" customFormat="1" x14ac:dyDescent="0.25">
      <c r="A24" s="32"/>
      <c r="B24" s="34"/>
      <c r="C24" s="34"/>
      <c r="D24" s="34"/>
      <c r="E24" s="34"/>
      <c r="F24" s="34"/>
      <c r="G24" s="34"/>
      <c r="H24" s="34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s="5" customFormat="1" x14ac:dyDescent="0.25">
      <c r="B25" s="31"/>
      <c r="C25" s="31"/>
      <c r="D25" s="31"/>
      <c r="E25" s="31"/>
      <c r="F25" s="31"/>
      <c r="G25" s="31"/>
      <c r="H25" s="31"/>
      <c r="I25" s="143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s="5" customFormat="1" x14ac:dyDescent="0.25">
      <c r="A26" s="1"/>
      <c r="B26" s="31"/>
      <c r="C26" s="31"/>
      <c r="D26" s="31"/>
      <c r="E26" s="31"/>
      <c r="F26" s="31"/>
      <c r="G26" s="31"/>
      <c r="H26" s="31"/>
      <c r="I26" s="31"/>
      <c r="J26" s="3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J27" s="31"/>
    </row>
    <row r="28" spans="1:20" x14ac:dyDescent="0.25">
      <c r="I28" s="31"/>
      <c r="J28" s="31"/>
    </row>
    <row r="29" spans="1:20" x14ac:dyDescent="0.25">
      <c r="I29" s="31"/>
      <c r="J29" s="31"/>
    </row>
    <row r="31" spans="1:20" x14ac:dyDescent="0.25">
      <c r="I31" s="31"/>
    </row>
    <row r="32" spans="1:20" x14ac:dyDescent="0.25">
      <c r="I32" s="3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125589-3B97-4A8E-BFB5-F8CAEDF79A9D}">
  <ds:schemaRefs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(2022)</vt:lpstr>
      <vt:lpstr>SPECIAL REVENUE</vt:lpstr>
      <vt:lpstr>DEBT SERVICE</vt:lpstr>
      <vt:lpstr>CAPITAL PROJECTS</vt:lpstr>
      <vt:lpstr>SCHOOL NUTRITION</vt:lpstr>
      <vt:lpstr>Budget vs Actual (2022)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Dan Copeland</cp:lastModifiedBy>
  <cp:lastPrinted>2022-07-12T20:15:46Z</cp:lastPrinted>
  <dcterms:created xsi:type="dcterms:W3CDTF">2020-01-29T12:55:36Z</dcterms:created>
  <dcterms:modified xsi:type="dcterms:W3CDTF">2022-07-18T14:33:08Z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