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2_09\"/>
    </mc:Choice>
  </mc:AlternateContent>
  <bookViews>
    <workbookView xWindow="-120" yWindow="-120" windowWidth="20730" windowHeight="11160" tabRatio="797"/>
  </bookViews>
  <sheets>
    <sheet name="GENERAL FUND" sheetId="1" r:id="rId1"/>
    <sheet name="DATA for CHARTS (2023)" sheetId="10" state="hidden" r:id="rId2"/>
    <sheet name="Budget vs Actual (2023)" sheetId="6" r:id="rId3"/>
    <sheet name="YTD EXPENDITURES by FUNCTION" sheetId="7" r:id="rId4"/>
    <sheet name="YTD EXPENDITURES by FUNCTIO (2" sheetId="8" r:id="rId5"/>
    <sheet name="DCSD Revenue Budget vs Actual" sheetId="9" r:id="rId6"/>
    <sheet name="SPECIAL REVENUE" sheetId="2" r:id="rId7"/>
    <sheet name="DEBT SERVICE" sheetId="3" r:id="rId8"/>
    <sheet name="CAPITAL PROJECTS" sheetId="4" r:id="rId9"/>
    <sheet name="SCHOOL NUTRITION" sheetId="5" r:id="rId10"/>
  </sheets>
  <definedNames>
    <definedName name="_xlnm.Print_Area" localSheetId="0">'GENERAL FUND'!$A:$I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0" l="1"/>
  <c r="T41" i="10"/>
  <c r="T43" i="10"/>
  <c r="T40" i="10"/>
  <c r="G19" i="10"/>
  <c r="G18" i="10"/>
  <c r="G17" i="10"/>
  <c r="G16" i="10"/>
  <c r="G14" i="10"/>
  <c r="G13" i="10"/>
  <c r="G11" i="10"/>
  <c r="G10" i="10"/>
  <c r="G9" i="10"/>
  <c r="F19" i="10" l="1"/>
  <c r="F18" i="10"/>
  <c r="F17" i="10"/>
  <c r="F16" i="10"/>
  <c r="F14" i="10"/>
  <c r="F11" i="10"/>
  <c r="F10" i="10"/>
  <c r="F9" i="10"/>
  <c r="G8" i="4" l="1"/>
  <c r="G9" i="4"/>
  <c r="G10" i="4"/>
  <c r="G11" i="4"/>
  <c r="E35" i="1" l="1"/>
  <c r="G35" i="1" s="1"/>
  <c r="G34" i="1"/>
  <c r="H65" i="10" l="1"/>
  <c r="F25" i="10"/>
  <c r="E20" i="10"/>
  <c r="E21" i="10"/>
  <c r="E22" i="10"/>
  <c r="T22" i="10" s="1"/>
  <c r="E23" i="10"/>
  <c r="E24" i="10"/>
  <c r="G26" i="1" l="1"/>
  <c r="H26" i="1" s="1"/>
  <c r="I26" i="1" s="1"/>
  <c r="G18" i="4" l="1"/>
  <c r="G17" i="4"/>
  <c r="G16" i="4"/>
  <c r="G15" i="4"/>
  <c r="G14" i="4"/>
  <c r="G13" i="4"/>
  <c r="C29" i="1" l="1"/>
  <c r="D29" i="1"/>
  <c r="E29" i="1"/>
  <c r="F29" i="1"/>
  <c r="B2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 l="1"/>
  <c r="T21" i="10"/>
  <c r="U25" i="10"/>
  <c r="C12" i="4" l="1"/>
  <c r="D12" i="4"/>
  <c r="E12" i="4"/>
  <c r="F12" i="4"/>
  <c r="B12" i="4"/>
  <c r="H14" i="4"/>
  <c r="I14" i="4" s="1"/>
  <c r="E16" i="10"/>
  <c r="T16" i="10" s="1"/>
  <c r="E13" i="10"/>
  <c r="T13" i="10" s="1"/>
  <c r="I11" i="3"/>
  <c r="G11" i="3"/>
  <c r="H11" i="3" s="1"/>
  <c r="G9" i="3"/>
  <c r="H9" i="3" s="1"/>
  <c r="I9" i="3" s="1"/>
  <c r="I8" i="3"/>
  <c r="G8" i="3"/>
  <c r="H8" i="3" s="1"/>
  <c r="G12" i="3"/>
  <c r="H12" i="3" s="1"/>
  <c r="I12" i="3" s="1"/>
  <c r="B47" i="10"/>
  <c r="E19" i="10"/>
  <c r="T19" i="10" s="1"/>
  <c r="H13" i="1"/>
  <c r="I13" i="1" s="1"/>
  <c r="H14" i="1"/>
  <c r="I14" i="1" s="1"/>
  <c r="H15" i="1"/>
  <c r="I15" i="1" s="1"/>
  <c r="H16" i="1"/>
  <c r="I16" i="1" s="1"/>
  <c r="H17" i="1"/>
  <c r="H18" i="1"/>
  <c r="I18" i="1" s="1"/>
  <c r="H19" i="1"/>
  <c r="I19" i="1" s="1"/>
  <c r="H20" i="1"/>
  <c r="I20" i="1" s="1"/>
  <c r="H21" i="1"/>
  <c r="I21" i="1" s="1"/>
  <c r="H22" i="1"/>
  <c r="I22" i="1" s="1"/>
  <c r="H25" i="1"/>
  <c r="I25" i="1" s="1"/>
  <c r="H27" i="1"/>
  <c r="I27" i="1" s="1"/>
  <c r="H28" i="1"/>
  <c r="I28" i="1" s="1"/>
  <c r="H24" i="1"/>
  <c r="I24" i="1" s="1"/>
  <c r="H23" i="1"/>
  <c r="I23" i="1" s="1"/>
  <c r="B12" i="1"/>
  <c r="C12" i="1"/>
  <c r="D12" i="1"/>
  <c r="E12" i="1"/>
  <c r="F12" i="1"/>
  <c r="B65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C47" i="10"/>
  <c r="P46" i="10"/>
  <c r="O46" i="10"/>
  <c r="N46" i="10"/>
  <c r="N48" i="10" s="1"/>
  <c r="M46" i="10"/>
  <c r="L46" i="10"/>
  <c r="K46" i="10"/>
  <c r="J46" i="10"/>
  <c r="I46" i="10"/>
  <c r="H46" i="10"/>
  <c r="G46" i="10"/>
  <c r="F46" i="10"/>
  <c r="E46" i="10"/>
  <c r="E51" i="10" s="1"/>
  <c r="B46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B44" i="10"/>
  <c r="C43" i="10"/>
  <c r="C42" i="10"/>
  <c r="T42" i="10" s="1"/>
  <c r="C41" i="10"/>
  <c r="C40" i="10"/>
  <c r="Q25" i="10"/>
  <c r="P25" i="10"/>
  <c r="O25" i="10"/>
  <c r="N25" i="10"/>
  <c r="M25" i="10"/>
  <c r="H25" i="10"/>
  <c r="T24" i="10"/>
  <c r="T23" i="10"/>
  <c r="T20" i="10"/>
  <c r="E15" i="10"/>
  <c r="T15" i="10" s="1"/>
  <c r="E14" i="10"/>
  <c r="T14" i="10" s="1"/>
  <c r="E12" i="10"/>
  <c r="T12" i="10" s="1"/>
  <c r="E10" i="10"/>
  <c r="T10" i="10" s="1"/>
  <c r="G22" i="5"/>
  <c r="G23" i="4"/>
  <c r="G17" i="3"/>
  <c r="G36" i="2"/>
  <c r="G33" i="1"/>
  <c r="C18" i="5"/>
  <c r="D18" i="5"/>
  <c r="E18" i="5"/>
  <c r="F18" i="5"/>
  <c r="B18" i="5"/>
  <c r="B19" i="4"/>
  <c r="C19" i="4"/>
  <c r="D19" i="4"/>
  <c r="E19" i="4"/>
  <c r="F19" i="4"/>
  <c r="G29" i="2"/>
  <c r="H29" i="2" s="1"/>
  <c r="I29" i="2" s="1"/>
  <c r="H15" i="4"/>
  <c r="I15" i="5"/>
  <c r="I10" i="4"/>
  <c r="G8" i="1"/>
  <c r="H8" i="1" s="1"/>
  <c r="I8" i="1" s="1"/>
  <c r="G9" i="1"/>
  <c r="H9" i="1" s="1"/>
  <c r="I9" i="1" s="1"/>
  <c r="G10" i="1"/>
  <c r="H10" i="1" s="1"/>
  <c r="I10" i="1" s="1"/>
  <c r="G11" i="1"/>
  <c r="G30" i="2"/>
  <c r="H30" i="2" s="1"/>
  <c r="I30" i="2" s="1"/>
  <c r="G17" i="5"/>
  <c r="H17" i="5" s="1"/>
  <c r="G16" i="5"/>
  <c r="H16" i="5" s="1"/>
  <c r="I16" i="5" s="1"/>
  <c r="G15" i="5"/>
  <c r="H15" i="5" s="1"/>
  <c r="G14" i="5"/>
  <c r="H14" i="5" s="1"/>
  <c r="I14" i="5" s="1"/>
  <c r="B10" i="3"/>
  <c r="C10" i="3"/>
  <c r="D10" i="3"/>
  <c r="E10" i="3"/>
  <c r="B13" i="5"/>
  <c r="C13" i="5"/>
  <c r="D13" i="5"/>
  <c r="E13" i="5"/>
  <c r="F13" i="5"/>
  <c r="B13" i="3"/>
  <c r="C13" i="3"/>
  <c r="D13" i="3"/>
  <c r="E13" i="3"/>
  <c r="F13" i="3"/>
  <c r="B13" i="2"/>
  <c r="C13" i="2"/>
  <c r="D13" i="2"/>
  <c r="E13" i="2"/>
  <c r="F13" i="2"/>
  <c r="I17" i="5"/>
  <c r="G12" i="5"/>
  <c r="H12" i="5" s="1"/>
  <c r="I12" i="5" s="1"/>
  <c r="G11" i="5"/>
  <c r="H11" i="5" s="1"/>
  <c r="I11" i="5" s="1"/>
  <c r="G10" i="5"/>
  <c r="H10" i="5" s="1"/>
  <c r="I10" i="5" s="1"/>
  <c r="G9" i="5"/>
  <c r="H9" i="5" s="1"/>
  <c r="I9" i="5" s="1"/>
  <c r="G8" i="5"/>
  <c r="H8" i="5" s="1"/>
  <c r="H17" i="4"/>
  <c r="I17" i="4" s="1"/>
  <c r="H18" i="4"/>
  <c r="I18" i="4"/>
  <c r="H16" i="4"/>
  <c r="I16" i="4" s="1"/>
  <c r="H13" i="4"/>
  <c r="I13" i="4" s="1"/>
  <c r="H11" i="4"/>
  <c r="I11" i="4"/>
  <c r="H10" i="4"/>
  <c r="H9" i="4"/>
  <c r="I9" i="4" s="1"/>
  <c r="H8" i="4"/>
  <c r="F10" i="3"/>
  <c r="F32" i="2"/>
  <c r="E32" i="2"/>
  <c r="D32" i="2"/>
  <c r="C32" i="2"/>
  <c r="B32" i="2"/>
  <c r="G31" i="2"/>
  <c r="H31" i="2" s="1"/>
  <c r="I31" i="2" s="1"/>
  <c r="G28" i="2"/>
  <c r="H28" i="2" s="1"/>
  <c r="I28" i="2" s="1"/>
  <c r="G19" i="2"/>
  <c r="H19" i="2" s="1"/>
  <c r="I19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H21" i="2" s="1"/>
  <c r="I21" i="2" s="1"/>
  <c r="G20" i="2"/>
  <c r="H20" i="2" s="1"/>
  <c r="I20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G14" i="2"/>
  <c r="H14" i="2" s="1"/>
  <c r="G12" i="2"/>
  <c r="H12" i="2" s="1"/>
  <c r="I12" i="2" s="1"/>
  <c r="G11" i="2"/>
  <c r="H11" i="2" s="1"/>
  <c r="I11" i="2" s="1"/>
  <c r="G10" i="2"/>
  <c r="H10" i="2" s="1"/>
  <c r="I10" i="2" s="1"/>
  <c r="G9" i="2"/>
  <c r="H9" i="2" s="1"/>
  <c r="I9" i="2" s="1"/>
  <c r="G8" i="2"/>
  <c r="E48" i="10" l="1"/>
  <c r="E11" i="10"/>
  <c r="T11" i="10" s="1"/>
  <c r="J25" i="10"/>
  <c r="O48" i="10"/>
  <c r="G48" i="10"/>
  <c r="B48" i="10"/>
  <c r="I48" i="10"/>
  <c r="E18" i="10"/>
  <c r="T18" i="10" s="1"/>
  <c r="H48" i="10"/>
  <c r="L48" i="10"/>
  <c r="J48" i="10"/>
  <c r="M48" i="10"/>
  <c r="F48" i="10"/>
  <c r="E52" i="10"/>
  <c r="F52" i="10" s="1"/>
  <c r="G52" i="10" s="1"/>
  <c r="H52" i="10" s="1"/>
  <c r="I52" i="10" s="1"/>
  <c r="J52" i="10" s="1"/>
  <c r="K52" i="10" s="1"/>
  <c r="L52" i="10" s="1"/>
  <c r="M52" i="10" s="1"/>
  <c r="N52" i="10" s="1"/>
  <c r="O52" i="10" s="1"/>
  <c r="P52" i="10" s="1"/>
  <c r="B20" i="5"/>
  <c r="K48" i="10"/>
  <c r="E9" i="10"/>
  <c r="L25" i="10"/>
  <c r="P48" i="10"/>
  <c r="E17" i="10"/>
  <c r="T17" i="10" s="1"/>
  <c r="E31" i="1"/>
  <c r="E36" i="1" s="1"/>
  <c r="G10" i="3"/>
  <c r="H10" i="3" s="1"/>
  <c r="E20" i="5"/>
  <c r="E23" i="5" s="1"/>
  <c r="D40" i="10"/>
  <c r="D41" i="10"/>
  <c r="D42" i="10"/>
  <c r="D43" i="10"/>
  <c r="D47" i="10"/>
  <c r="B56" i="10" s="1"/>
  <c r="D20" i="5"/>
  <c r="C20" i="5"/>
  <c r="C21" i="4"/>
  <c r="D34" i="2"/>
  <c r="C34" i="2"/>
  <c r="B31" i="1"/>
  <c r="E15" i="3"/>
  <c r="E18" i="3" s="1"/>
  <c r="D15" i="3"/>
  <c r="B34" i="2"/>
  <c r="D31" i="1"/>
  <c r="C31" i="1"/>
  <c r="G12" i="1"/>
  <c r="G13" i="5"/>
  <c r="B21" i="4"/>
  <c r="H18" i="5"/>
  <c r="I18" i="5" s="1"/>
  <c r="G18" i="5"/>
  <c r="G12" i="4"/>
  <c r="E21" i="4"/>
  <c r="E24" i="4" s="1"/>
  <c r="D21" i="4"/>
  <c r="B15" i="3"/>
  <c r="C15" i="3"/>
  <c r="G13" i="3"/>
  <c r="H13" i="3" s="1"/>
  <c r="I13" i="3" s="1"/>
  <c r="G32" i="2"/>
  <c r="G13" i="2"/>
  <c r="E34" i="2"/>
  <c r="E37" i="2" s="1"/>
  <c r="H11" i="1"/>
  <c r="I14" i="2"/>
  <c r="H32" i="2"/>
  <c r="I32" i="2" s="1"/>
  <c r="I8" i="5"/>
  <c r="H13" i="5"/>
  <c r="H12" i="4"/>
  <c r="I8" i="4"/>
  <c r="I17" i="1"/>
  <c r="H29" i="1"/>
  <c r="I29" i="1" s="1"/>
  <c r="I15" i="4"/>
  <c r="H19" i="4"/>
  <c r="I19" i="4" s="1"/>
  <c r="C46" i="10"/>
  <c r="F51" i="10"/>
  <c r="G19" i="4"/>
  <c r="G25" i="10"/>
  <c r="C44" i="10"/>
  <c r="D44" i="10" s="1"/>
  <c r="H8" i="2"/>
  <c r="I25" i="10"/>
  <c r="K25" i="10"/>
  <c r="E53" i="10" l="1"/>
  <c r="C48" i="10"/>
  <c r="D48" i="10" s="1"/>
  <c r="B57" i="10" s="1"/>
  <c r="E25" i="10"/>
  <c r="T9" i="10"/>
  <c r="T25" i="10" s="1"/>
  <c r="C6" i="10"/>
  <c r="B16" i="10" s="1"/>
  <c r="C16" i="10" s="1"/>
  <c r="G31" i="1"/>
  <c r="G36" i="1" s="1"/>
  <c r="G34" i="2"/>
  <c r="G37" i="2" s="1"/>
  <c r="G20" i="5"/>
  <c r="G23" i="5" s="1"/>
  <c r="G15" i="3"/>
  <c r="G18" i="3" s="1"/>
  <c r="H12" i="1"/>
  <c r="I12" i="1" s="1"/>
  <c r="I11" i="1"/>
  <c r="G21" i="4"/>
  <c r="G24" i="4" s="1"/>
  <c r="H13" i="2"/>
  <c r="I8" i="2"/>
  <c r="H20" i="5"/>
  <c r="I13" i="5"/>
  <c r="G51" i="10"/>
  <c r="F53" i="10"/>
  <c r="D46" i="10"/>
  <c r="B55" i="10" s="1"/>
  <c r="I12" i="4"/>
  <c r="H21" i="4"/>
  <c r="I10" i="3"/>
  <c r="H15" i="3"/>
  <c r="B29" i="10" l="1"/>
  <c r="B15" i="10"/>
  <c r="C15" i="10" s="1"/>
  <c r="I13" i="2"/>
  <c r="H34" i="2"/>
  <c r="G53" i="10"/>
  <c r="H51" i="10"/>
  <c r="H53" i="10" l="1"/>
  <c r="I51" i="10"/>
  <c r="I53" i="10" l="1"/>
  <c r="J51" i="10"/>
  <c r="K51" i="10" l="1"/>
  <c r="J53" i="10"/>
  <c r="K53" i="10" l="1"/>
  <c r="L51" i="10"/>
  <c r="M51" i="10" l="1"/>
  <c r="L53" i="10"/>
  <c r="M53" i="10" l="1"/>
  <c r="N51" i="10"/>
  <c r="O51" i="10" l="1"/>
  <c r="N53" i="10"/>
  <c r="O53" i="10" l="1"/>
  <c r="P51" i="10"/>
  <c r="P53" i="10" s="1"/>
</calcChain>
</file>

<file path=xl/sharedStrings.xml><?xml version="1.0" encoding="utf-8"?>
<sst xmlns="http://schemas.openxmlformats.org/spreadsheetml/2006/main" count="270" uniqueCount="85">
  <si>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</si>
  <si>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</si>
  <si>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</si>
  <si>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</si>
  <si>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</si>
  <si>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</si>
  <si>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</si>
  <si>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</si>
  <si>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</si>
  <si>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</si>
  <si>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</si>
  <si>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</si>
  <si>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</si>
  <si>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</si>
  <si>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</si>
  <si>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</si>
  <si>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</si>
  <si>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</si>
  <si>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</si>
  <si>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</si>
  <si>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</si>
  <si>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MAINTENANCE AND OPERATION OF PLANT SERVICES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</si>
  <si>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</si>
  <si>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</si>
  <si>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</si>
  <si>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DEBT SERVICE</t>
  </si>
  <si>
    <t xml:space="preserve">   TRANSFERS &amp; OTHER OUTLAYS</t>
  </si>
  <si>
    <t>Total Expenditures</t>
  </si>
  <si>
    <t>Revenues OVER/UNDER Expenditures</t>
  </si>
  <si>
    <t>ENDING BALANCE</t>
  </si>
  <si>
    <t xml:space="preserve">   FEDERAL SOURCES</t>
  </si>
  <si>
    <t xml:space="preserve">   SCHOOL NUTRITION PROGRAM</t>
  </si>
  <si>
    <t xml:space="preserve">   FEDERAL GRANT ADMINISTRATION</t>
  </si>
  <si>
    <t xml:space="preserve">   ENTERPRISE OPERATIONS</t>
  </si>
  <si>
    <t xml:space="preserve">   FACILITIES ACQUISITION AND CONSTRUCTION SERVICES</t>
  </si>
  <si>
    <t>% of REMAINING BUDGET</t>
  </si>
  <si>
    <t>Description</t>
  </si>
  <si>
    <t>AMENDED BUDGET</t>
  </si>
  <si>
    <t>ORIGINAL BUDGET</t>
  </si>
  <si>
    <t xml:space="preserve">   COMMUNITY SERVICES OPERATIONS</t>
  </si>
  <si>
    <t>YTD BUDGET VS ACTUAL CHART DATA</t>
  </si>
  <si>
    <t>GF EXPENSE BUDGET</t>
  </si>
  <si>
    <t>YTD EXPENSE ACTUALS</t>
  </si>
  <si>
    <t>GENERAL FUND Budget</t>
  </si>
  <si>
    <t>YTD ACTUAL EXPENSE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</si>
  <si>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</si>
  <si>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</si>
  <si>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</si>
  <si>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</si>
  <si>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</si>
  <si>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</si>
  <si>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</si>
  <si>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</si>
  <si>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</si>
  <si>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</si>
  <si>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</si>
  <si>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</si>
  <si>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UNEXPENDED BUDGET</t>
  </si>
  <si>
    <t>YTD EXPENSE</t>
  </si>
  <si>
    <t xml:space="preserve">   MAINTENANCE AND OPERATION</t>
  </si>
  <si>
    <t>YTD REVENUE</t>
  </si>
  <si>
    <t>NEW YTD REVENUE COLLECTED CHART DATA</t>
  </si>
  <si>
    <t>BUDGET</t>
  </si>
  <si>
    <t>YTD REVENUE ACTUALS</t>
  </si>
  <si>
    <t>YTD %</t>
  </si>
  <si>
    <t>LOCAL &amp; OTHER</t>
  </si>
  <si>
    <t>STATE</t>
  </si>
  <si>
    <t>CUMULATIVE</t>
  </si>
  <si>
    <t>YTD ACTUAL REVENUE</t>
  </si>
  <si>
    <t>Total Revenue Anticipated</t>
  </si>
  <si>
    <t>YTD ACTUALS</t>
  </si>
  <si>
    <t>REVENUE BUDGET</t>
  </si>
  <si>
    <t>FY2023 GENERAL FUND (ROLLUP)</t>
  </si>
  <si>
    <t>FY2023 SPECIAL REVENUE (ROLLUP)</t>
  </si>
  <si>
    <t>FY2023 DEBT SERVICE (ROLLUP)</t>
  </si>
  <si>
    <t>FY2023 CAPITAL PROJECTS (ROLLUP)</t>
  </si>
  <si>
    <t>FY2023 SCHOOL NUTRITION (ROLLUP)</t>
  </si>
  <si>
    <t>FY2023 BUDGET CHARTS</t>
  </si>
  <si>
    <t>BEGINNING BALANCE (Estimated)</t>
  </si>
  <si>
    <t>ASSIGNED BALANCE (Gold Case)</t>
  </si>
  <si>
    <t>UNASSIGNED STARTING BALANCE (Estimated)</t>
  </si>
  <si>
    <t>9/31/2022</t>
  </si>
  <si>
    <t>TOTAL GENERAL OPERATIONS BUDGET
$1,327,076,427</t>
  </si>
  <si>
    <t>GENERAL OPERATIONS YTD EXPENSES
$173,711,833</t>
  </si>
  <si>
    <t>(LOCAL &amp; OTHER)  Budgeted: $801,993,141  Actual: $256,671,904  32.00%
(STATE)  Budgeted: $505,285,147  Actual: $59,717,721   11.82%
TOTAL Budgeted: $1,307,278,288  Actual: $316,389,625   24.20%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</si>
</sst>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0.0%"/>
    <numFmt numFmtId="165" formatCode="#,##0.000000_);[Red]\(#,##0.000000\)"/>
  </numFmts>
  <fonts count="1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color indexed="8"/>
      <name val="ARIAL"/>
      <family val="2"/>
    </font>
    <font>
      <i/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25"/>
      </patternFill>
    </fill>
    <fill>
      <patternFill patternType="solid">
        <fgColor indexed="46"/>
        <bgColor indexed="25"/>
      </patternFill>
    </fill>
    <fill>
      <patternFill patternType="solid">
        <fgColor indexed="42"/>
        <bgColor indexed="25"/>
      </patternFill>
    </fill>
    <fill>
      <patternFill patternType="solid">
        <fgColor indexed="45"/>
        <bgColor indexed="25"/>
      </patternFill>
    </fill>
    <fill>
      <patternFill patternType="solid">
        <fgColor indexed="44"/>
        <bgColor indexed="2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1"/>
        <bgColor indexed="2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25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9" fontId="6" fillId="0" borderId="0" applyFont="0" applyFill="0" applyBorder="0" applyAlignment="0" applyProtection="0">
      <alignment vertical="top"/>
    </xf>
  </cellStyleXfs>
  <cellXfs count="168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8" xfId="0" applyNumberFormat="1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38" fontId="2" fillId="3" borderId="10" xfId="0" applyNumberFormat="1" applyFont="1" applyFill="1" applyBorder="1" applyAlignment="1">
      <alignment vertical="center"/>
    </xf>
    <xf numFmtId="10" fontId="2" fillId="3" borderId="11" xfId="1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3" fillId="0" borderId="15" xfId="1" applyNumberFormat="1" applyFont="1" applyBorder="1" applyAlignment="1">
      <alignment vertical="center"/>
    </xf>
    <xf numFmtId="10" fontId="3" fillId="0" borderId="16" xfId="1" applyNumberFormat="1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0" fontId="3" fillId="0" borderId="14" xfId="1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38" fontId="3" fillId="0" borderId="0" xfId="0" applyNumberFormat="1" applyFont="1"/>
    <xf numFmtId="0" fontId="5" fillId="0" borderId="0" xfId="0" applyFont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0" fontId="3" fillId="0" borderId="16" xfId="0" applyFont="1" applyBorder="1" applyAlignment="1">
      <alignment vertical="center"/>
    </xf>
    <xf numFmtId="10" fontId="3" fillId="0" borderId="6" xfId="1" applyNumberFormat="1" applyFont="1" applyBorder="1" applyAlignment="1">
      <alignment horizontal="right" vertical="center"/>
    </xf>
    <xf numFmtId="10" fontId="2" fillId="3" borderId="11" xfId="1" applyNumberFormat="1" applyFont="1" applyFill="1" applyBorder="1" applyAlignment="1">
      <alignment horizontal="right" vertical="center"/>
    </xf>
    <xf numFmtId="10" fontId="3" fillId="0" borderId="14" xfId="1" applyNumberFormat="1" applyFont="1" applyBorder="1" applyAlignment="1">
      <alignment horizontal="right" vertical="center"/>
    </xf>
    <xf numFmtId="10" fontId="3" fillId="0" borderId="16" xfId="1" applyNumberFormat="1" applyFont="1" applyBorder="1" applyAlignment="1">
      <alignment horizontal="right" vertical="center"/>
    </xf>
    <xf numFmtId="10" fontId="3" fillId="0" borderId="15" xfId="1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0" fontId="3" fillId="0" borderId="0" xfId="1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0" fontId="3" fillId="0" borderId="0" xfId="1" applyNumberFormat="1" applyFont="1" applyFill="1" applyBorder="1" applyAlignment="1">
      <alignment vertical="center"/>
    </xf>
    <xf numFmtId="0" fontId="3" fillId="0" borderId="0" xfId="0" applyFont="1" applyFill="1"/>
    <xf numFmtId="38" fontId="6" fillId="0" borderId="0" xfId="2" applyNumberFormat="1" applyBorder="1">
      <alignment vertical="top"/>
    </xf>
    <xf numFmtId="38" fontId="6" fillId="0" borderId="0" xfId="2" applyNumberFormat="1">
      <alignment vertical="top"/>
    </xf>
    <xf numFmtId="0" fontId="6" fillId="0" borderId="0" xfId="2">
      <alignment vertical="top"/>
    </xf>
    <xf numFmtId="0" fontId="6" fillId="0" borderId="0" xfId="2" applyBorder="1">
      <alignment vertical="top"/>
    </xf>
    <xf numFmtId="0" fontId="8" fillId="6" borderId="1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38" fontId="8" fillId="7" borderId="27" xfId="2" applyNumberFormat="1" applyFont="1" applyFill="1" applyBorder="1" applyAlignment="1">
      <alignment horizontal="center" vertical="top"/>
    </xf>
    <xf numFmtId="38" fontId="8" fillId="8" borderId="28" xfId="2" applyNumberFormat="1" applyFont="1" applyFill="1" applyBorder="1" applyAlignment="1">
      <alignment horizontal="center" vertical="top"/>
    </xf>
    <xf numFmtId="40" fontId="10" fillId="0" borderId="0" xfId="2" applyNumberFormat="1" applyFont="1" applyBorder="1">
      <alignment vertical="top"/>
    </xf>
    <xf numFmtId="0" fontId="10" fillId="0" borderId="0" xfId="2" applyFont="1" applyAlignment="1">
      <alignment horizontal="center" vertical="top"/>
    </xf>
    <xf numFmtId="0" fontId="8" fillId="9" borderId="26" xfId="2" applyFont="1" applyFill="1" applyBorder="1" applyAlignment="1">
      <alignment horizontal="center" vertical="center" wrapText="1"/>
    </xf>
    <xf numFmtId="38" fontId="8" fillId="6" borderId="29" xfId="2" applyNumberFormat="1" applyFont="1" applyFill="1" applyBorder="1" applyAlignment="1">
      <alignment horizontal="center" vertical="center" wrapText="1"/>
    </xf>
    <xf numFmtId="38" fontId="8" fillId="6" borderId="2" xfId="2" applyNumberFormat="1" applyFont="1" applyFill="1" applyBorder="1" applyAlignment="1">
      <alignment horizontal="center" vertical="center" wrapText="1"/>
    </xf>
    <xf numFmtId="38" fontId="8" fillId="6" borderId="3" xfId="2" applyNumberFormat="1" applyFont="1" applyFill="1" applyBorder="1" applyAlignment="1">
      <alignment horizontal="center" vertical="center" wrapText="1"/>
    </xf>
    <xf numFmtId="38" fontId="8" fillId="9" borderId="30" xfId="2" applyNumberFormat="1" applyFont="1" applyFill="1" applyBorder="1" applyAlignment="1">
      <alignment vertical="top"/>
    </xf>
    <xf numFmtId="38" fontId="8" fillId="9" borderId="31" xfId="2" applyNumberFormat="1" applyFont="1" applyFill="1" applyBorder="1" applyAlignment="1">
      <alignment vertical="top"/>
    </xf>
    <xf numFmtId="0" fontId="8" fillId="0" borderId="0" xfId="2" applyFont="1" applyAlignment="1">
      <alignment horizontal="right" vertical="top"/>
    </xf>
    <xf numFmtId="164" fontId="0" fillId="0" borderId="0" xfId="3" applyNumberFormat="1" applyFont="1" applyAlignment="1">
      <alignment horizontal="center" vertical="top"/>
    </xf>
    <xf numFmtId="0" fontId="6" fillId="0" borderId="0" xfId="2" applyFont="1" applyBorder="1">
      <alignment vertical="top"/>
    </xf>
    <xf numFmtId="38" fontId="8" fillId="0" borderId="0" xfId="2" applyNumberFormat="1" applyFont="1" applyBorder="1">
      <alignment vertical="top"/>
    </xf>
    <xf numFmtId="0" fontId="8" fillId="6" borderId="32" xfId="2" applyFont="1" applyFill="1" applyBorder="1" applyAlignment="1">
      <alignment horizontal="center" vertical="center" wrapText="1"/>
    </xf>
    <xf numFmtId="38" fontId="8" fillId="10" borderId="26" xfId="2" applyNumberFormat="1" applyFont="1" applyFill="1" applyBorder="1" applyAlignment="1">
      <alignment horizontal="center" vertical="center" wrapText="1"/>
    </xf>
    <xf numFmtId="38" fontId="8" fillId="11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top" wrapText="1"/>
    </xf>
    <xf numFmtId="0" fontId="6" fillId="12" borderId="0" xfId="2" applyFill="1" applyBorder="1">
      <alignment vertical="top"/>
    </xf>
    <xf numFmtId="38" fontId="6" fillId="12" borderId="0" xfId="2" applyNumberFormat="1" applyFill="1" applyBorder="1">
      <alignment vertical="top"/>
    </xf>
    <xf numFmtId="38" fontId="6" fillId="12" borderId="0" xfId="2" applyNumberFormat="1" applyFill="1">
      <alignment vertical="top"/>
    </xf>
    <xf numFmtId="0" fontId="6" fillId="12" borderId="0" xfId="2" applyFill="1">
      <alignment vertical="top"/>
    </xf>
    <xf numFmtId="0" fontId="8" fillId="10" borderId="33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6" borderId="34" xfId="2" applyFont="1" applyFill="1" applyBorder="1" applyAlignment="1">
      <alignment horizontal="center" vertical="center" wrapText="1"/>
    </xf>
    <xf numFmtId="0" fontId="8" fillId="6" borderId="35" xfId="2" applyFont="1" applyFill="1" applyBorder="1" applyAlignment="1">
      <alignment horizontal="center" vertical="center" wrapText="1"/>
    </xf>
    <xf numFmtId="0" fontId="8" fillId="6" borderId="3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 wrapText="1"/>
    </xf>
    <xf numFmtId="0" fontId="6" fillId="0" borderId="0" xfId="2" applyFill="1">
      <alignment vertical="top"/>
    </xf>
    <xf numFmtId="38" fontId="6" fillId="0" borderId="33" xfId="2" applyNumberFormat="1" applyFont="1" applyFill="1" applyBorder="1" applyAlignment="1">
      <alignment horizontal="center" vertical="center" wrapText="1"/>
    </xf>
    <xf numFmtId="38" fontId="8" fillId="14" borderId="30" xfId="2" applyNumberFormat="1" applyFont="1" applyFill="1" applyBorder="1" applyAlignment="1">
      <alignment horizontal="center" vertical="top"/>
    </xf>
    <xf numFmtId="164" fontId="6" fillId="0" borderId="30" xfId="3" applyNumberFormat="1" applyFont="1" applyFill="1" applyBorder="1" applyAlignment="1">
      <alignment horizontal="center" vertical="center" wrapText="1"/>
    </xf>
    <xf numFmtId="38" fontId="6" fillId="0" borderId="22" xfId="2" applyNumberFormat="1" applyFont="1" applyFill="1" applyBorder="1" applyAlignment="1">
      <alignment horizontal="center" vertical="center" wrapText="1"/>
    </xf>
    <xf numFmtId="38" fontId="8" fillId="14" borderId="31" xfId="2" applyNumberFormat="1" applyFont="1" applyFill="1" applyBorder="1" applyAlignment="1">
      <alignment horizontal="center" vertical="top"/>
    </xf>
    <xf numFmtId="164" fontId="6" fillId="0" borderId="31" xfId="3" applyNumberFormat="1" applyFont="1" applyFill="1" applyBorder="1" applyAlignment="1">
      <alignment horizontal="center" vertical="center" wrapText="1"/>
    </xf>
    <xf numFmtId="38" fontId="6" fillId="0" borderId="39" xfId="2" applyNumberFormat="1" applyFont="1" applyFill="1" applyBorder="1" applyAlignment="1">
      <alignment horizontal="center" vertical="center" wrapText="1"/>
    </xf>
    <xf numFmtId="164" fontId="6" fillId="0" borderId="28" xfId="3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vertical="top"/>
    </xf>
    <xf numFmtId="38" fontId="8" fillId="15" borderId="39" xfId="2" applyNumberFormat="1" applyFont="1" applyFill="1" applyBorder="1" applyAlignment="1">
      <alignment horizontal="center" vertical="center" wrapText="1"/>
    </xf>
    <xf numFmtId="38" fontId="8" fillId="12" borderId="26" xfId="2" applyNumberFormat="1" applyFont="1" applyFill="1" applyBorder="1" applyAlignment="1">
      <alignment horizontal="center" vertical="top"/>
    </xf>
    <xf numFmtId="164" fontId="6" fillId="0" borderId="26" xfId="3" applyNumberFormat="1" applyFont="1" applyFill="1" applyBorder="1" applyAlignment="1">
      <alignment horizontal="center" vertical="center" wrapText="1"/>
    </xf>
    <xf numFmtId="38" fontId="8" fillId="2" borderId="41" xfId="2" applyNumberFormat="1" applyFont="1" applyFill="1" applyBorder="1" applyAlignment="1">
      <alignment horizontal="center" vertical="center" wrapText="1"/>
    </xf>
    <xf numFmtId="38" fontId="8" fillId="2" borderId="42" xfId="2" applyNumberFormat="1" applyFont="1" applyFill="1" applyBorder="1" applyAlignment="1">
      <alignment horizontal="center" vertical="center" wrapText="1"/>
    </xf>
    <xf numFmtId="40" fontId="6" fillId="0" borderId="0" xfId="2" applyNumberFormat="1">
      <alignment vertical="top"/>
    </xf>
    <xf numFmtId="0" fontId="12" fillId="0" borderId="0" xfId="2" applyFont="1" applyBorder="1" applyAlignment="1">
      <alignment horizontal="right" vertical="top"/>
    </xf>
    <xf numFmtId="38" fontId="12" fillId="0" borderId="33" xfId="2" applyNumberFormat="1" applyFont="1" applyBorder="1" applyAlignment="1">
      <alignment horizontal="center" vertical="top"/>
    </xf>
    <xf numFmtId="10" fontId="12" fillId="0" borderId="34" xfId="3" applyNumberFormat="1" applyFont="1" applyFill="1" applyBorder="1" applyAlignment="1">
      <alignment horizontal="center" vertical="top"/>
    </xf>
    <xf numFmtId="38" fontId="6" fillId="0" borderId="38" xfId="2" applyNumberFormat="1" applyFill="1" applyBorder="1" applyAlignment="1">
      <alignment vertical="top"/>
    </xf>
    <xf numFmtId="38" fontId="12" fillId="0" borderId="39" xfId="2" applyNumberFormat="1" applyFont="1" applyBorder="1" applyAlignment="1">
      <alignment horizontal="center" vertical="top"/>
    </xf>
    <xf numFmtId="38" fontId="8" fillId="14" borderId="28" xfId="2" applyNumberFormat="1" applyFont="1" applyFill="1" applyBorder="1" applyAlignment="1">
      <alignment horizontal="center" vertical="top"/>
    </xf>
    <xf numFmtId="10" fontId="12" fillId="0" borderId="27" xfId="3" applyNumberFormat="1" applyFont="1" applyFill="1" applyBorder="1" applyAlignment="1">
      <alignment horizontal="center" vertical="top"/>
    </xf>
    <xf numFmtId="38" fontId="6" fillId="0" borderId="0" xfId="2" applyNumberFormat="1" applyFill="1" applyBorder="1" applyAlignment="1">
      <alignment vertical="top"/>
    </xf>
    <xf numFmtId="38" fontId="8" fillId="12" borderId="43" xfId="2" applyNumberFormat="1" applyFont="1" applyFill="1" applyBorder="1" applyAlignment="1">
      <alignment horizontal="center" vertical="top"/>
    </xf>
    <xf numFmtId="10" fontId="12" fillId="16" borderId="39" xfId="3" applyNumberFormat="1" applyFont="1" applyFill="1" applyBorder="1" applyAlignment="1">
      <alignment horizontal="center" vertical="center" wrapText="1"/>
    </xf>
    <xf numFmtId="38" fontId="8" fillId="2" borderId="1" xfId="2" applyNumberFormat="1" applyFont="1" applyFill="1" applyBorder="1" applyAlignment="1">
      <alignment vertical="center" wrapText="1"/>
    </xf>
    <xf numFmtId="38" fontId="8" fillId="2" borderId="2" xfId="2" applyNumberFormat="1" applyFont="1" applyFill="1" applyBorder="1" applyAlignment="1">
      <alignment vertical="center" wrapText="1"/>
    </xf>
    <xf numFmtId="38" fontId="8" fillId="2" borderId="3" xfId="2" applyNumberFormat="1" applyFont="1" applyFill="1" applyBorder="1" applyAlignment="1">
      <alignment vertical="center" wrapText="1"/>
    </xf>
    <xf numFmtId="0" fontId="8" fillId="6" borderId="29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vertical="top"/>
    </xf>
    <xf numFmtId="0" fontId="8" fillId="2" borderId="1" xfId="2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38" fontId="6" fillId="0" borderId="0" xfId="2" applyNumberFormat="1" applyFill="1" applyBorder="1">
      <alignment vertical="top"/>
    </xf>
    <xf numFmtId="0" fontId="8" fillId="0" borderId="0" xfId="2" applyFont="1" applyAlignment="1">
      <alignment horizontal="left" vertical="top"/>
    </xf>
    <xf numFmtId="40" fontId="6" fillId="0" borderId="0" xfId="2" applyNumberFormat="1" applyFill="1" applyBorder="1">
      <alignment vertical="top"/>
    </xf>
    <xf numFmtId="0" fontId="8" fillId="2" borderId="26" xfId="2" applyFont="1" applyFill="1" applyBorder="1" applyAlignment="1">
      <alignment horizontal="center" vertical="center" wrapText="1"/>
    </xf>
    <xf numFmtId="40" fontId="8" fillId="2" borderId="25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right" vertical="top"/>
    </xf>
    <xf numFmtId="38" fontId="6" fillId="0" borderId="0" xfId="2" applyNumberFormat="1" applyAlignment="1">
      <alignment horizontal="right" vertical="top"/>
    </xf>
    <xf numFmtId="40" fontId="8" fillId="0" borderId="0" xfId="2" applyNumberFormat="1" applyFont="1">
      <alignment vertical="top"/>
    </xf>
    <xf numFmtId="10" fontId="0" fillId="0" borderId="0" xfId="3" applyNumberFormat="1" applyFont="1" applyAlignment="1">
      <alignment horizontal="left" vertical="top"/>
    </xf>
    <xf numFmtId="40" fontId="8" fillId="2" borderId="1" xfId="2" applyNumberFormat="1" applyFont="1" applyFill="1" applyBorder="1" applyAlignment="1">
      <alignment horizontal="center" vertical="center" wrapText="1"/>
    </xf>
    <xf numFmtId="38" fontId="8" fillId="2" borderId="3" xfId="2" applyNumberFormat="1" applyFont="1" applyFill="1" applyBorder="1" applyAlignment="1">
      <alignment horizontal="right" vertical="center" wrapText="1"/>
    </xf>
    <xf numFmtId="38" fontId="8" fillId="2" borderId="3" xfId="2" applyNumberFormat="1" applyFont="1" applyFill="1" applyBorder="1" applyAlignment="1">
      <alignment horizontal="center" vertical="center" wrapText="1"/>
    </xf>
    <xf numFmtId="5" fontId="6" fillId="0" borderId="0" xfId="2" applyNumberFormat="1">
      <alignment vertical="top"/>
    </xf>
    <xf numFmtId="38" fontId="6" fillId="0" borderId="0" xfId="2" applyNumberFormat="1" applyAlignment="1">
      <alignment vertical="top" wrapText="1"/>
    </xf>
    <xf numFmtId="0" fontId="8" fillId="0" borderId="0" xfId="2" applyFont="1" applyBorder="1">
      <alignment vertical="top"/>
    </xf>
    <xf numFmtId="40" fontId="6" fillId="0" borderId="0" xfId="2" applyNumberFormat="1" applyFill="1">
      <alignment vertical="top"/>
    </xf>
    <xf numFmtId="38" fontId="6" fillId="0" borderId="38" xfId="2" applyNumberFormat="1" applyFont="1" applyFill="1" applyBorder="1" applyAlignment="1">
      <alignment vertical="center" wrapText="1"/>
    </xf>
    <xf numFmtId="38" fontId="6" fillId="0" borderId="0" xfId="2" applyNumberFormat="1" applyFont="1" applyFill="1" applyBorder="1" applyAlignment="1">
      <alignment vertical="center" wrapText="1"/>
    </xf>
    <xf numFmtId="38" fontId="6" fillId="0" borderId="40" xfId="2" applyNumberFormat="1" applyFont="1" applyFill="1" applyBorder="1" applyAlignment="1">
      <alignment vertical="center" wrapText="1"/>
    </xf>
    <xf numFmtId="40" fontId="3" fillId="0" borderId="0" xfId="0" applyNumberFormat="1" applyFont="1"/>
    <xf numFmtId="40" fontId="3" fillId="0" borderId="0" xfId="0" applyNumberFormat="1" applyFont="1" applyAlignment="1">
      <alignment vertical="center"/>
    </xf>
    <xf numFmtId="40" fontId="0" fillId="0" borderId="0" xfId="0" applyNumberFormat="1"/>
    <xf numFmtId="10" fontId="3" fillId="0" borderId="0" xfId="1" applyNumberFormat="1" applyFont="1"/>
    <xf numFmtId="10" fontId="6" fillId="0" borderId="0" xfId="1" applyNumberFormat="1" applyFont="1" applyFill="1" applyAlignment="1">
      <alignment vertical="top"/>
    </xf>
    <xf numFmtId="10" fontId="6" fillId="0" borderId="0" xfId="1" applyNumberFormat="1" applyFont="1" applyAlignment="1">
      <alignment vertical="top"/>
    </xf>
    <xf numFmtId="40" fontId="6" fillId="0" borderId="0" xfId="2" applyNumberFormat="1" applyAlignment="1">
      <alignment vertical="top" wrapText="1"/>
    </xf>
    <xf numFmtId="165" fontId="6" fillId="0" borderId="0" xfId="2" applyNumberFormat="1">
      <alignment vertical="top"/>
    </xf>
    <xf numFmtId="165" fontId="8" fillId="2" borderId="1" xfId="2" applyNumberFormat="1" applyFont="1" applyFill="1" applyBorder="1" applyAlignment="1">
      <alignment horizontal="center" vertical="center" wrapText="1"/>
    </xf>
    <xf numFmtId="165" fontId="6" fillId="0" borderId="0" xfId="2" applyNumberFormat="1" applyFill="1">
      <alignment vertical="top"/>
    </xf>
    <xf numFmtId="165" fontId="11" fillId="0" borderId="0" xfId="2" applyNumberFormat="1" applyFont="1" applyAlignment="1">
      <alignment vertical="top"/>
    </xf>
    <xf numFmtId="0" fontId="8" fillId="0" borderId="0" xfId="2" applyFont="1" applyAlignment="1">
      <alignment vertical="top"/>
    </xf>
    <xf numFmtId="0" fontId="8" fillId="0" borderId="0" xfId="2" applyFont="1" applyAlignment="1">
      <alignment vertical="top" wrapText="1"/>
    </xf>
    <xf numFmtId="0" fontId="14" fillId="0" borderId="9" xfId="0" applyFont="1" applyFill="1" applyBorder="1" applyAlignment="1">
      <alignment horizontal="right" vertical="center"/>
    </xf>
    <xf numFmtId="40" fontId="6" fillId="0" borderId="0" xfId="1" applyNumberFormat="1" applyFont="1" applyFill="1" applyAlignment="1">
      <alignment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8" fillId="0" borderId="0" xfId="2" applyFont="1" applyAlignment="1">
      <alignment horizontal="left" vertical="top"/>
    </xf>
    <xf numFmtId="0" fontId="8" fillId="4" borderId="23" xfId="2" applyFont="1" applyFill="1" applyBorder="1" applyAlignment="1">
      <alignment horizontal="center" vertical="top"/>
    </xf>
    <xf numFmtId="0" fontId="8" fillId="4" borderId="25" xfId="2" applyFont="1" applyFill="1" applyBorder="1" applyAlignment="1">
      <alignment horizontal="center" vertical="top"/>
    </xf>
    <xf numFmtId="0" fontId="7" fillId="4" borderId="23" xfId="2" applyFont="1" applyFill="1" applyBorder="1" applyAlignment="1">
      <alignment horizontal="center" vertical="top"/>
    </xf>
    <xf numFmtId="0" fontId="7" fillId="4" borderId="24" xfId="2" applyFont="1" applyFill="1" applyBorder="1" applyAlignment="1">
      <alignment horizontal="center" vertical="top"/>
    </xf>
    <xf numFmtId="0" fontId="7" fillId="4" borderId="25" xfId="2" applyFont="1" applyFill="1" applyBorder="1" applyAlignment="1">
      <alignment horizontal="center" vertical="top"/>
    </xf>
    <xf numFmtId="0" fontId="8" fillId="5" borderId="22" xfId="2" applyFont="1" applyFill="1" applyBorder="1" applyAlignment="1">
      <alignment horizontal="center" vertical="top"/>
    </xf>
    <xf numFmtId="0" fontId="8" fillId="5" borderId="0" xfId="2" applyFont="1" applyFill="1" applyBorder="1" applyAlignment="1">
      <alignment horizontal="center" vertical="top"/>
    </xf>
    <xf numFmtId="0" fontId="8" fillId="0" borderId="0" xfId="2" applyFont="1" applyBorder="1" applyAlignment="1">
      <alignment horizontal="left" vertical="top" wrapText="1"/>
    </xf>
    <xf numFmtId="0" fontId="8" fillId="13" borderId="23" xfId="2" applyFont="1" applyFill="1" applyBorder="1" applyAlignment="1">
      <alignment horizontal="center" vertical="top"/>
    </xf>
    <xf numFmtId="0" fontId="8" fillId="13" borderId="24" xfId="2" applyFont="1" applyFill="1" applyBorder="1" applyAlignment="1">
      <alignment horizontal="center" vertical="top"/>
    </xf>
    <xf numFmtId="0" fontId="8" fillId="13" borderId="25" xfId="2" applyFont="1" applyFill="1" applyBorder="1" applyAlignment="1">
      <alignment horizontal="center" vertical="top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FY2023
DeKalb County School District        
YTD Expense Budget vs Actual</a:t>
            </a:r>
          </a:p>
        </c:rich>
      </c:tx>
      <c:layout>
        <c:manualLayout>
          <c:xMode val="edge"/>
          <c:yMode val="edge"/>
          <c:x val="0.34882954170788"/>
          <c:y val="1.94049159120310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40"/>
      <c:rotY val="2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4322453016815"/>
          <c:y val="0.32304766252044581"/>
          <c:w val="0.55588526211671607"/>
          <c:h val="0.545924967658473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D16-4551-B416-74AF4DCF2D2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CCFFCC"/>
                  </a:gs>
                  <a:gs pos="100000">
                    <a:srgbClr val="008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D16-4551-B416-74AF4DCF2D26}"/>
              </c:ext>
            </c:extLst>
          </c:dPt>
          <c:dLbls>
            <c:dLbl>
              <c:idx val="0"/>
              <c:layout>
                <c:manualLayout>
                  <c:x val="1.8019623173983895E-2"/>
                  <c:y val="-3.7887379733386642E-2"/>
                </c:manualLayout>
              </c:layout>
              <c:numFmt formatCode="0.0%" sourceLinked="0"/>
              <c:spPr>
                <a:solidFill>
                  <a:srgbClr val="9999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7457122022234681"/>
                      <c:h val="8.0784514065502036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5.2449211150511904E-2"/>
                  <c:y val="-2.7415494078754966E-2"/>
                </c:manualLayout>
              </c:layout>
              <c:numFmt formatCode="0.0%" sourceLinked="0"/>
              <c:spPr>
                <a:solidFill>
                  <a:srgbClr val="CCFFCC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7576935531002456"/>
                      <c:h val="9.573085451765638E-2"/>
                    </c:manualLayout>
                  </c15:layout>
                </c:ext>
              </c:extLst>
            </c:dLbl>
            <c:numFmt formatCode="0.0%" sourceLinked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(2023)'!$A$15:$A$16</c:f>
              <c:strCache>
                <c:ptCount val="2"/>
                <c:pt idx="0">
                  <c:v>UNEXPENDED BUDGET</c:v>
                </c:pt>
                <c:pt idx="1">
                  <c:v>YTD EXPENSE</c:v>
                </c:pt>
              </c:strCache>
            </c:strRef>
          </c:cat>
          <c:val>
            <c:numRef>
              <c:f>'DATA for CHARTS (2023)'!$B$15:$B$16</c:f>
              <c:numCache>
                <c:formatCode>"$"#,##0_);\("$"#,##0\)</c:formatCode>
                <c:ptCount val="2"/>
                <c:pt idx="0">
                  <c:v>1153364593.8299987</c:v>
                </c:pt>
                <c:pt idx="1">
                  <c:v>173711832.74000123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16-4551-B416-74AF4DCF2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71414441147381"/>
          <c:y val="0.93143596377749027"/>
          <c:w val="0.43026706231454004"/>
          <c:h val="3.62225097024579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zero"/>
    <c:showDLblsOverMax val="0"/>
  </c:chart>
  <c:spPr>
    <a:gradFill rotWithShape="0">
      <a:gsLst>
        <a:gs pos="0">
          <a:srgbClr val="FFCC99"/>
        </a:gs>
        <a:gs pos="100000">
          <a:srgbClr val="99CCFF"/>
        </a:gs>
      </a:gsLst>
      <a:lin ang="2700000" scaled="1"/>
    </a:gra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FY2023
DeKalb County School District        
YTD Expense</a:t>
            </a:r>
            <a:r>
              <a:rPr lang="en-US" sz="2000" b="1" baseline="0"/>
              <a:t> </a:t>
            </a:r>
            <a:r>
              <a:rPr lang="en-US" sz="2000" b="1"/>
              <a:t>Actuals by Function</a:t>
            </a:r>
          </a:p>
        </c:rich>
      </c:tx>
      <c:layout>
        <c:manualLayout>
          <c:xMode val="edge"/>
          <c:yMode val="edge"/>
          <c:x val="0.32743205995940577"/>
          <c:y val="2.1285533948594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3392535664585551"/>
          <c:y val="0.27041085081756083"/>
          <c:w val="0.60185070825878317"/>
          <c:h val="0.590156013107057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8EC-4FE6-8A7F-A4E3726004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8EC-4FE6-8A7F-A4E3726004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8EC-4FE6-8A7F-A4E3726004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8EC-4FE6-8A7F-A4E3726004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8EC-4FE6-8A7F-A4E3726004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8EC-4FE6-8A7F-A4E3726004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8EC-4FE6-8A7F-A4E3726004C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8EC-4FE6-8A7F-A4E3726004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8EC-4FE6-8A7F-A4E3726004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8EC-4FE6-8A7F-A4E3726004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8EC-4FE6-8A7F-A4E3726004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8EC-4FE6-8A7F-A4E3726004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8EC-4FE6-8A7F-A4E3726004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8EC-4FE6-8A7F-A4E3726004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8EC-4FE6-8A7F-A4E3726004C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8.8753662562490579E-2"/>
                  <c:y val="-4.566107304287955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1594779087919924"/>
                      <c:h val="4.8218147625763985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7.0395543586138989E-2"/>
                  <c:y val="-0.1177647716461394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4742221414900872"/>
                      <c:h val="6.8904560413728264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4.77891417033251E-2"/>
                  <c:y val="-0.1380824717079617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551262712020576E-2"/>
                  <c:y val="-8.037700506054518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5754770874302598E-2"/>
                  <c:y val="-1.287340492875626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8081936097004927E-2"/>
                  <c:y val="3.603241414287247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263404386387509"/>
                      <c:h val="8.0574836467021307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1.7007031593467871E-2"/>
                  <c:y val="6.17528662231748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3816262435600765"/>
                      <c:h val="9.3100555660443715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1.0881463287501277E-3"/>
                  <c:y val="7.044574999352147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524908057505848"/>
                      <c:h val="7.2843419255244721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4.4970660011530557E-2"/>
                  <c:y val="8.6868866356444516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9598160968134018"/>
                      <c:h val="6.8548866174336906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3.5132378763587359E-2"/>
                  <c:y val="4.4107370922781199E-2"/>
                </c:manualLayout>
              </c:layout>
              <c:tx>
                <c:rich>
                  <a:bodyPr/>
                  <a:lstStyle/>
                  <a:p>
                    <a:fld id="{7F3BF172-F49C-45B6-96F5-277323D547B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FFB2650D-D0F0-417F-92C0-19A8CCA75EE1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, </a:t>
                    </a:r>
                    <a:fld id="{8D2D2E9B-6CBE-4EE8-A3C5-17756E8510A2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8EC-4FE6-8A7F-A4E3726004C7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0"/>
              <c:layout>
                <c:manualLayout>
                  <c:x val="-9.9227867329021186E-3"/>
                  <c:y val="5.920445416819371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9975252491484346E-2"/>
                  <c:y val="-8.589842160563203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068283590930267"/>
                      <c:h val="6.2362797034009675E-2"/>
                    </c:manualLayout>
                  </c15:layout>
                </c:ext>
              </c:extLst>
            </c:dLbl>
            <c:dLbl>
              <c:idx val="12"/>
              <c:layout>
                <c:manualLayout>
                  <c:x val="-4.8813105984620526E-2"/>
                  <c:y val="-0.1546656597403462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890003343363423"/>
                      <c:h val="5.9708509637987774E-2"/>
                    </c:manualLayout>
                  </c15:layout>
                </c:ext>
              </c:extLst>
            </c:dLbl>
            <c:dLbl>
              <c:idx val="14"/>
              <c:layout>
                <c:manualLayout>
                  <c:x val="-7.984941701745657E-2"/>
                  <c:y val="-1.162392782707528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1.0339153944773954E-2"/>
                  <c:y val="-0.2153356359369042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'DATA for CHARTS (2023)'!$D$9:$D$24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(2023)'!$E$9:$E$24</c:f>
              <c:numCache>
                <c:formatCode>#,##0_);[Red]\(#,##0\)</c:formatCode>
                <c:ptCount val="16"/>
                <c:pt idx="0">
                  <c:v>91528972.670001477</c:v>
                </c:pt>
                <c:pt idx="1">
                  <c:v>9159432.7899999656</c:v>
                </c:pt>
                <c:pt idx="2">
                  <c:v>3954800.9500000011</c:v>
                </c:pt>
                <c:pt idx="3">
                  <c:v>1165.8999999999999</c:v>
                </c:pt>
                <c:pt idx="4">
                  <c:v>1261681.1200000057</c:v>
                </c:pt>
                <c:pt idx="5">
                  <c:v>3312994.830000001</c:v>
                </c:pt>
                <c:pt idx="6">
                  <c:v>15485821.199999798</c:v>
                </c:pt>
                <c:pt idx="7">
                  <c:v>4543272.879999999</c:v>
                </c:pt>
                <c:pt idx="8">
                  <c:v>28821658.50999999</c:v>
                </c:pt>
                <c:pt idx="9">
                  <c:v>8646446.870000001</c:v>
                </c:pt>
                <c:pt idx="10">
                  <c:v>6835177.4699999997</c:v>
                </c:pt>
                <c:pt idx="11">
                  <c:v>160407.55000000002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28EC-4FE6-8A7F-A4E3726004C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$173,711,833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28EC-4FE6-8A7F-A4E3726004C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$173,711,833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28EC-4FE6-8A7F-A4E3726004C7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$173,711,833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28EC-4FE6-8A7F-A4E3726004C7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$173,711,833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28EC-4FE6-8A7F-A4E3726004C7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$173,711,833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28EC-4FE6-8A7F-A4E3726004C7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$173,711,833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0-28EC-4FE6-8A7F-A4E3726004C7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2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$173,711,833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3-28EC-4FE6-8A7F-A4E3726004C7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$173,711,833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28EC-4FE6-8A7F-A4E3726004C7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8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$173,711,833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9-28EC-4FE6-8A7F-A4E3726004C7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$173,711,833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C-28EC-4FE6-8A7F-A4E3726004C7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E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$173,711,833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F-28EC-4FE6-8A7F-A4E3726004C7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$173,711,833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2-28EC-4FE6-8A7F-A4E3726004C7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4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$173,711,833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5-28EC-4FE6-8A7F-A4E3726004C7}"/>
            </c:ext>
          </c:extLst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$173,711,833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8-28EC-4FE6-8A7F-A4E3726004C7}"/>
            </c:ext>
          </c:extLst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A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$173,711,833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B-28EC-4FE6-8A7F-A4E3726004C7}"/>
            </c:ext>
          </c:extLst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D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$173,711,833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E-28EC-4FE6-8A7F-A4E3726004C7}"/>
            </c:ext>
          </c:extLst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0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$173,711,833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1-28EC-4FE6-8A7F-A4E3726004C7}"/>
            </c:ext>
          </c:extLst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3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$173,711,833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4-28EC-4FE6-8A7F-A4E3726004C7}"/>
            </c:ext>
          </c:extLst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6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$173,711,833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7-28EC-4FE6-8A7F-A4E3726004C7}"/>
            </c:ext>
          </c:extLst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9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$173,711,833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A-28EC-4FE6-8A7F-A4E3726004C7}"/>
            </c:ext>
          </c:extLst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C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$173,711,833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D-28EC-4FE6-8A7F-A4E3726004C7}"/>
            </c:ext>
          </c:extLst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$173,711,833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0-28EC-4FE6-8A7F-A4E3726004C7}"/>
            </c:ext>
          </c:extLst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2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$173,711,833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3-28EC-4FE6-8A7F-A4E3726004C7}"/>
            </c:ext>
          </c:extLst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$173,711,833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6-28EC-4FE6-8A7F-A4E3726004C7}"/>
            </c:ext>
          </c:extLst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8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$173,711,833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9-28EC-4FE6-8A7F-A4E3726004C7}"/>
            </c:ext>
          </c:extLst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$173,711,833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C-28EC-4FE6-8A7F-A4E3726004C7}"/>
            </c:ext>
          </c:extLst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E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$173,711,833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F-28EC-4FE6-8A7F-A4E3726004C7}"/>
            </c:ext>
          </c:extLst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1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$173,711,833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72-28EC-4FE6-8A7F-A4E372600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FY2023
DeKalb County School District        
YTD Expense Actuals by Function</a:t>
            </a:r>
          </a:p>
        </c:rich>
      </c:tx>
      <c:layout>
        <c:manualLayout>
          <c:xMode val="edge"/>
          <c:yMode val="edge"/>
          <c:x val="0.3394681682843807"/>
          <c:y val="2.3166116929318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37454665347843"/>
          <c:y val="0.21575246365972064"/>
          <c:w val="0.72205736894164196"/>
          <c:h val="0.640999795974119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2EE-4976-80E3-6C84EC3EF0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2EE-4976-80E3-6C84EC3EF0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2EE-4976-80E3-6C84EC3EF0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2EE-4976-80E3-6C84EC3EF0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2EE-4976-80E3-6C84EC3EF0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2EE-4976-80E3-6C84EC3EF0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2EE-4976-80E3-6C84EC3EF0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2EE-4976-80E3-6C84EC3EF08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2EE-4976-80E3-6C84EC3EF08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2EE-4976-80E3-6C84EC3EF08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2EE-4976-80E3-6C84EC3EF08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2EE-4976-80E3-6C84EC3EF08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2EE-4976-80E3-6C84EC3EF08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numFmt formatCode="&quot;$&quot;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(2023)'!$E$9:$E$24</c:f>
              <c:numCache>
                <c:formatCode>#,##0_);[Red]\(#,##0\)</c:formatCode>
                <c:ptCount val="16"/>
                <c:pt idx="0">
                  <c:v>91528972.670001477</c:v>
                </c:pt>
                <c:pt idx="1">
                  <c:v>9159432.7899999656</c:v>
                </c:pt>
                <c:pt idx="2">
                  <c:v>3954800.9500000011</c:v>
                </c:pt>
                <c:pt idx="3">
                  <c:v>1165.8999999999999</c:v>
                </c:pt>
                <c:pt idx="4">
                  <c:v>1261681.1200000057</c:v>
                </c:pt>
                <c:pt idx="5">
                  <c:v>3312994.830000001</c:v>
                </c:pt>
                <c:pt idx="6">
                  <c:v>15485821.199999798</c:v>
                </c:pt>
                <c:pt idx="7">
                  <c:v>4543272.879999999</c:v>
                </c:pt>
                <c:pt idx="8">
                  <c:v>28821658.50999999</c:v>
                </c:pt>
                <c:pt idx="9">
                  <c:v>8646446.870000001</c:v>
                </c:pt>
                <c:pt idx="10">
                  <c:v>6835177.4699999997</c:v>
                </c:pt>
                <c:pt idx="11">
                  <c:v>160407.55000000002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32EE-4976-80E3-6C84EC3E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85587856"/>
        <c:axId val="485588640"/>
      </c:barChart>
      <c:valAx>
        <c:axId val="485588640"/>
        <c:scaling>
          <c:orientation val="minMax"/>
          <c:max val="1000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587856"/>
        <c:crosses val="autoZero"/>
        <c:crossBetween val="between"/>
        <c:majorUnit val="5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4855878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588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FY2023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DCSD General Fund </a:t>
            </a:r>
          </a:p>
          <a:p>
            <a:pPr>
              <a:defRPr/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YTD </a:t>
            </a:r>
            <a:r>
              <a:rPr lang="en-US" sz="1800" b="1" i="0" baseline="0">
                <a:effectLst/>
              </a:rPr>
              <a:t>REVENUE Budget vs Collections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114851187424112E-2"/>
          <c:y val="0.20279692238215599"/>
          <c:w val="0.88239168972147397"/>
          <c:h val="0.63462018219606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 (2023)'!$B$68</c:f>
              <c:strCache>
                <c:ptCount val="1"/>
                <c:pt idx="0">
                  <c:v>REVENUE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513541175525402E-17"/>
                  <c:y val="-1.6914894844997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6D-47D9-8098-B8C26044ED9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(2023)'!$B$69:$B$72</c:f>
              <c:numCache>
                <c:formatCode>#,##0_);[Red]\(#,##0\)</c:formatCode>
                <c:ptCount val="4"/>
                <c:pt idx="0">
                  <c:v>800454885.07000005</c:v>
                </c:pt>
                <c:pt idx="1">
                  <c:v>90000</c:v>
                </c:pt>
                <c:pt idx="2">
                  <c:v>505285146.90999991</c:v>
                </c:pt>
                <c:pt idx="3">
                  <c:v>1448256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D-47D9-8098-B8C26044ED9B}"/>
            </c:ext>
          </c:extLst>
        </c:ser>
        <c:ser>
          <c:idx val="1"/>
          <c:order val="1"/>
          <c:tx>
            <c:strRef>
              <c:f>'DATA for CHARTS (2023)'!$C$68</c:f>
              <c:strCache>
                <c:ptCount val="1"/>
                <c:pt idx="0">
                  <c:v>YTD ACTUALS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(2023)'!$C$69:$C$72</c:f>
              <c:numCache>
                <c:formatCode>#,##0_);[Red]\(#,##0\)</c:formatCode>
                <c:ptCount val="4"/>
                <c:pt idx="0">
                  <c:v>255971469.50999999</c:v>
                </c:pt>
                <c:pt idx="1">
                  <c:v>690633.12</c:v>
                </c:pt>
                <c:pt idx="2">
                  <c:v>59717721.270000011</c:v>
                </c:pt>
                <c:pt idx="3">
                  <c:v>9801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6D-47D9-8098-B8C26044ED9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(2023)'!$R$55</c:f>
              <c:strCache>
                <c:ptCount val="1"/>
                <c:pt idx="0">
                  <c:v>(LOCAL &amp; OTHER)  Budgeted: $801,993,141  Actual: $256,671,904  32.00%
(STATE)  Budgeted: $505,285,147  Actual: $59,717,721   11.82%
TOTAL Budgeted: $1,307,278,288  Actual: $316,389,625   24.20%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(2023)'!$R$55</c:f>
              <c:strCache>
                <c:ptCount val="1"/>
                <c:pt idx="0">
                  <c:v>(LOCAL &amp; OTHER)  Budgeted: $801,993,141  Actual: $256,671,904  32.00%
(STATE)  Budgeted: $505,285,147  Actual: $59,717,721   11.82%
TOTAL Budgeted: $1,307,278,288  Actual: $316,389,625   24.20%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5588248"/>
        <c:axId val="48559256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836D-47D9-8098-B8C26044ED9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836D-47D9-8098-B8C26044ED9B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836D-47D9-8098-B8C26044ED9B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$801,993,141  Actual: $256,671,904  32.00%
(STATE)  Budgeted: $505,285,147  Actual: $59,717,721   11.82%
TOTAL Budgeted: $1,307,278,288  Actual: $316,389,625   24.20%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$801,993,141  Actual: $256,671,904  32.00%
(STATE)  Budgeted: $505,285,147  Actual: $59,717,721   11.82%
TOTAL Budgeted: $1,307,278,288  Actual: $316,389,625   24.20%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$801,993,141  Actual: $256,671,904  32.00%
(STATE)  Budgeted: $505,285,147  Actual: $59,717,721   11.82%
TOTAL Budgeted: $1,307,278,288  Actual: $316,389,625   24.20%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$801,993,141  Actual: $256,671,904  32.00%
(STATE)  Budgeted: $505,285,147  Actual: $59,717,721   11.82%
TOTAL Budgeted: $1,307,278,288  Actual: $316,389,625   24.20%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</c:ext>
        </c:extLst>
      </c:barChart>
      <c:catAx>
        <c:axId val="485588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592560"/>
        <c:crosses val="autoZero"/>
        <c:auto val="1"/>
        <c:lblAlgn val="ctr"/>
        <c:lblOffset val="500"/>
        <c:noMultiLvlLbl val="0"/>
      </c:catAx>
      <c:valAx>
        <c:axId val="48559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588248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028759270177013"/>
          <c:y val="0.49544170114922798"/>
          <c:w val="0.11292874889371936"/>
          <c:h val="6.34312996292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CC99"/>
        </a:gs>
        <a:gs pos="100000">
          <a:schemeClr val="tx2">
            <a:lumMod val="40000"/>
            <a:lumOff val="60000"/>
          </a:schemeClr>
        </a:gs>
      </a:gsLst>
      <a:lin ang="2700000" scaled="1"/>
      <a:tileRect/>
    </a:gradFill>
    <a:ln w="9525" cap="flat" cmpd="sng" algn="ctr">
      <a:gradFill>
        <a:gsLst>
          <a:gs pos="0">
            <a:srgbClr val="D3E0EF"/>
          </a:gs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5" bottom="0.5" header="0.25" footer="0.2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5" bottom="0.5" header="0.25" footer="0.2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5" bottom="0.5" header="0.3" footer="0.3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6" workbookViewId="0"/>
  </sheetViews>
  <pageMargins left="0.25" right="0.25" top="0.5" bottom="0.5" header="0" footer="0.25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75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0.21774</cdr:x>
      <cdr:y>0.14435</cdr:y>
    </cdr:from>
    <cdr:to>
      <cdr:x>0.81974</cdr:x>
      <cdr:y>0.2286</cdr:y>
    </cdr:to>
    <cdr:sp macro="" textlink="'DATA for CHARTS (2023)'!$B$27:$F$27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67772" y="974837"/>
          <a:ext cx="5716848" cy="568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860ACF3-6FEA-48F9-A40D-5C6E1B1F197B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TOTAL GENERAL OPERATIONS BUDGET
$1,327,076,427</a:t>
          </a:fld>
          <a:endParaRPr lang="en-US" sz="1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75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0.43631</cdr:x>
      <cdr:y>0.9055</cdr:y>
    </cdr:from>
    <cdr:to>
      <cdr:x>0.7984</cdr:x>
      <cdr:y>0.98307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43375" y="6115050"/>
          <a:ext cx="343852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0.4343</cdr:x>
      <cdr:y>0.88999</cdr:y>
    </cdr:from>
    <cdr:to>
      <cdr:x>0.77232</cdr:x>
      <cdr:y>0.98025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24325" y="6010275"/>
          <a:ext cx="3209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0.41725</cdr:x>
      <cdr:y>0.88575</cdr:y>
    </cdr:from>
    <cdr:to>
      <cdr:x>0.73922</cdr:x>
      <cdr:y>0.98025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62400" y="5981700"/>
          <a:ext cx="30575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0.35406</cdr:x>
      <cdr:y>0.90127</cdr:y>
    </cdr:from>
    <cdr:to>
      <cdr:x>0.78837</cdr:x>
      <cdr:y>0.98307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62325" y="6086475"/>
          <a:ext cx="4124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0.3661</cdr:x>
      <cdr:y>0.90832</cdr:y>
    </cdr:from>
    <cdr:to>
      <cdr:x>0.72317</cdr:x>
      <cdr:y>0.98307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76625" y="6134100"/>
          <a:ext cx="33909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0.35807</cdr:x>
      <cdr:y>0.90832</cdr:y>
    </cdr:from>
    <cdr:to>
      <cdr:x>0.71815</cdr:x>
      <cdr:y>0.99154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400421" y="6134101"/>
          <a:ext cx="3419473" cy="562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GENERAL OPERATIONS YTD EXPENSES</a:t>
          </a:r>
        </a:p>
        <a:p xmlns:a="http://schemas.openxmlformats.org/drawingml/2006/main">
          <a:pPr algn="ctr"/>
          <a:r>
            <a:rPr lang="en-US" sz="1400" b="1"/>
            <a:t>$173,711,833</a:t>
          </a:r>
          <a:endParaRPr lang="en-US" sz="12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75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0.35015</cdr:x>
      <cdr:y>0.90409</cdr:y>
    </cdr:from>
    <cdr:to>
      <cdr:x>0.69535</cdr:x>
      <cdr:y>0.97625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25173" y="6105525"/>
          <a:ext cx="3278166" cy="4873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GENERAL OPERATIONS YTD EXPENSES</a:t>
          </a:r>
        </a:p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$173,711,833</a:t>
          </a:r>
          <a:endParaRPr lang="en-US" sz="1050"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87619" cy="674441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</cdr:x>
      <cdr:y>0.90201</cdr:y>
    </cdr:from>
    <cdr:to>
      <cdr:x>0.9446</cdr:x>
      <cdr:y>0.98389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3208" y="6094698"/>
          <a:ext cx="8465990" cy="553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US" sz="1100"/>
        </a:p>
      </cdr:txBody>
    </cdr:sp>
  </cdr:relSizeAnchor>
  <cdr:relSizeAnchor xmlns:cdr="http://schemas.openxmlformats.org/drawingml/2006/chartDrawing">
    <cdr:from>
      <cdr:x>0.14574</cdr:x>
      <cdr:y>0.90167</cdr:y>
    </cdr:from>
    <cdr:to>
      <cdr:x>0.82901</cdr:x>
      <cdr:y>0.99077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83821" y="6092406"/>
          <a:ext cx="6487783" cy="60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0.14101</cdr:x>
      <cdr:y>0.90027</cdr:y>
    </cdr:from>
    <cdr:to>
      <cdr:x>0.87727</cdr:x>
      <cdr:y>0.9921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39319" y="6083420"/>
          <a:ext cx="6993028" cy="620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(LOCAL &amp; OTHER)  Budgeted: $801,993,141  Actual: $256,671,904  32.00%</a:t>
          </a:r>
        </a:p>
        <a:p xmlns:a="http://schemas.openxmlformats.org/drawingml/2006/main">
          <a:pPr algn="ctr"/>
          <a:r>
            <a:rPr lang="en-US" sz="1100"/>
            <a:t>(STATE)  Budgeted: $505,285,147  Actual: $59,717,721   11.82%</a:t>
          </a:r>
        </a:p>
        <a:p xmlns:a="http://schemas.openxmlformats.org/drawingml/2006/main">
          <a:pPr algn="ctr"/>
          <a:r>
            <a:rPr lang="en-US" sz="1100"/>
            <a:t>TOTAL Budgeted: $1,307,278,288  Actual: $316,389,625   24.20%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tabSelected="1" workbookViewId="0">
      <selection activeCell="E34" sqref="E34"/>
    </sheetView>
  </sheetViews>
  <sheetFormatPr defaultRowHeight="15" x14ac:dyDescent="0.25"/>
  <cols>
    <col min="1" max="1" width="49.7109375" style="1" bestFit="1" customWidth="1"/>
    <col min="2" max="2" width="19" style="31" bestFit="1" customWidth="1"/>
    <col min="3" max="3" width="20.85546875" style="31" bestFit="1" customWidth="1"/>
    <col min="4" max="4" width="14.28515625" style="31" bestFit="1" customWidth="1"/>
    <col min="5" max="5" width="14.7109375" style="31" bestFit="1" customWidth="1"/>
    <col min="6" max="6" width="16.28515625" style="31" customWidth="1"/>
    <col min="7" max="7" width="15.28515625" style="31" customWidth="1"/>
    <col min="8" max="8" width="14.5703125" style="31" bestFit="1" customWidth="1"/>
    <col min="9" max="9" width="12.42578125" style="1" customWidth="1"/>
    <col min="10" max="10" width="3.5703125" style="1" customWidth="1"/>
    <col min="11" max="11" width="4.28515625" style="1" customWidth="1"/>
    <col min="12" max="12" width="49.7109375" style="1" bestFit="1" customWidth="1"/>
    <col min="13" max="16" width="14.5703125" style="138" bestFit="1" customWidth="1"/>
    <col min="17" max="17" width="13.5703125" style="138" bestFit="1" customWidth="1"/>
    <col min="18" max="16384" width="9.140625" style="1"/>
  </cols>
  <sheetData>
    <row r="1" spans="1:17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L1" s="139"/>
      <c r="M1" s="139"/>
      <c r="N1" s="139"/>
      <c r="O1" s="139"/>
      <c r="P1" s="139"/>
    </row>
    <row r="2" spans="1:17" ht="18.75" x14ac:dyDescent="0.3">
      <c r="A2" s="154" t="s">
        <v>72</v>
      </c>
      <c r="B2" s="154"/>
      <c r="C2" s="154"/>
      <c r="D2" s="154"/>
      <c r="E2" s="154"/>
      <c r="F2" s="154"/>
      <c r="G2" s="154"/>
      <c r="H2" s="154"/>
      <c r="I2" s="154"/>
      <c r="L2" s="139"/>
      <c r="M2" s="139"/>
      <c r="N2" s="139"/>
      <c r="O2" s="139"/>
      <c r="P2" s="139"/>
    </row>
    <row r="3" spans="1:17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  <c r="L3" s="139"/>
      <c r="M3" s="139"/>
      <c r="N3" s="139"/>
      <c r="O3" s="139"/>
      <c r="P3" s="139"/>
    </row>
    <row r="4" spans="1:17" x14ac:dyDescent="0.25">
      <c r="A4" s="155" t="s">
        <v>81</v>
      </c>
      <c r="B4" s="155"/>
      <c r="C4" s="155"/>
      <c r="D4" s="155"/>
      <c r="E4" s="155"/>
      <c r="F4" s="155"/>
      <c r="G4" s="155"/>
      <c r="H4" s="155"/>
      <c r="I4" s="155"/>
      <c r="L4" s="139"/>
      <c r="M4" s="139"/>
      <c r="N4" s="139"/>
      <c r="O4" s="139"/>
      <c r="P4" s="139"/>
    </row>
    <row r="5" spans="1:17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  <c r="L5" s="139"/>
      <c r="M5" s="139"/>
      <c r="N5" s="139"/>
      <c r="O5" s="139"/>
      <c r="P5" s="139"/>
    </row>
    <row r="6" spans="1:17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  <c r="L6" s="139"/>
      <c r="M6" s="139"/>
      <c r="N6" s="139"/>
      <c r="O6" s="139"/>
      <c r="P6" s="139"/>
    </row>
    <row r="7" spans="1:17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4" t="s">
        <v>35</v>
      </c>
      <c r="L7" s="139"/>
      <c r="M7" s="139"/>
      <c r="N7" s="139"/>
      <c r="O7" s="139"/>
      <c r="P7" s="139"/>
      <c r="Q7" s="139"/>
    </row>
    <row r="8" spans="1:17" s="5" customFormat="1" x14ac:dyDescent="0.2">
      <c r="A8" s="6" t="s">
        <v>8</v>
      </c>
      <c r="B8" s="7">
        <v>800446262.68000007</v>
      </c>
      <c r="C8" s="7">
        <v>800454885.07000005</v>
      </c>
      <c r="D8" s="7">
        <v>232065648.81</v>
      </c>
      <c r="E8" s="7">
        <v>255971469.50999999</v>
      </c>
      <c r="F8" s="7">
        <v>0</v>
      </c>
      <c r="G8" s="7">
        <f t="shared" ref="G8:G28" si="0">SUM(E8:F8)</f>
        <v>255971469.50999999</v>
      </c>
      <c r="H8" s="7">
        <f t="shared" ref="H8:H11" si="1">C8-G8</f>
        <v>544483415.56000006</v>
      </c>
      <c r="I8" s="36">
        <f>IF(C8=0,"NA",H8/C8)</f>
        <v>0.68021749347233329</v>
      </c>
      <c r="L8" s="139"/>
      <c r="M8" s="139"/>
      <c r="N8" s="139"/>
      <c r="O8" s="139"/>
      <c r="P8" s="139"/>
      <c r="Q8" s="139"/>
    </row>
    <row r="9" spans="1:17" s="5" customFormat="1" x14ac:dyDescent="0.2">
      <c r="A9" s="6" t="s">
        <v>9</v>
      </c>
      <c r="B9" s="7">
        <v>90000</v>
      </c>
      <c r="C9" s="7">
        <v>90000</v>
      </c>
      <c r="D9" s="7">
        <v>278710.13</v>
      </c>
      <c r="E9" s="7">
        <v>690633.12</v>
      </c>
      <c r="F9" s="7">
        <v>0</v>
      </c>
      <c r="G9" s="7">
        <f>SUM(E9:F9)</f>
        <v>690633.12</v>
      </c>
      <c r="H9" s="7">
        <f>C9-G9</f>
        <v>-600633.12</v>
      </c>
      <c r="I9" s="36">
        <f t="shared" ref="I9:I28" si="2">IF(C9=0,"NA",H9/C9)</f>
        <v>-6.6737013333333337</v>
      </c>
      <c r="L9" s="139"/>
      <c r="M9" s="139"/>
      <c r="N9" s="139"/>
      <c r="O9" s="139"/>
      <c r="P9" s="139"/>
      <c r="Q9" s="139"/>
    </row>
    <row r="10" spans="1:17" s="5" customFormat="1" x14ac:dyDescent="0.2">
      <c r="A10" s="6" t="s">
        <v>10</v>
      </c>
      <c r="B10" s="7">
        <v>503214959.76999992</v>
      </c>
      <c r="C10" s="7">
        <v>505285146.90999991</v>
      </c>
      <c r="D10" s="7">
        <v>48556637</v>
      </c>
      <c r="E10" s="7">
        <v>59717721.270000003</v>
      </c>
      <c r="F10" s="7">
        <v>0</v>
      </c>
      <c r="G10" s="7">
        <f t="shared" si="0"/>
        <v>59717721.270000003</v>
      </c>
      <c r="H10" s="7">
        <f t="shared" si="1"/>
        <v>445567425.63999993</v>
      </c>
      <c r="I10" s="36">
        <f t="shared" si="2"/>
        <v>0.8818138201069331</v>
      </c>
      <c r="L10" s="139"/>
      <c r="M10" s="139"/>
      <c r="N10" s="139"/>
      <c r="O10" s="139"/>
      <c r="P10" s="139"/>
      <c r="Q10" s="139"/>
    </row>
    <row r="11" spans="1:17" s="5" customFormat="1" x14ac:dyDescent="0.2">
      <c r="A11" s="6" t="s">
        <v>11</v>
      </c>
      <c r="B11" s="7">
        <v>1448256</v>
      </c>
      <c r="C11" s="7">
        <v>1448256</v>
      </c>
      <c r="D11" s="7">
        <v>0</v>
      </c>
      <c r="E11" s="7">
        <v>9801</v>
      </c>
      <c r="F11" s="7">
        <v>0</v>
      </c>
      <c r="G11" s="7">
        <f t="shared" si="0"/>
        <v>9801</v>
      </c>
      <c r="H11" s="7">
        <f t="shared" si="1"/>
        <v>1438455</v>
      </c>
      <c r="I11" s="36">
        <f t="shared" si="2"/>
        <v>0.99323255004640065</v>
      </c>
      <c r="L11" s="139"/>
      <c r="M11" s="139"/>
      <c r="N11" s="139"/>
      <c r="O11" s="139"/>
      <c r="P11" s="139"/>
      <c r="Q11" s="139"/>
    </row>
    <row r="12" spans="1:17" s="5" customFormat="1" x14ac:dyDescent="0.25">
      <c r="A12" s="10" t="s">
        <v>12</v>
      </c>
      <c r="B12" s="11">
        <f t="shared" ref="B12:H12" si="3">SUM(B8:B11)</f>
        <v>1305199478.45</v>
      </c>
      <c r="C12" s="11">
        <f t="shared" si="3"/>
        <v>1307278287.98</v>
      </c>
      <c r="D12" s="11">
        <f t="shared" si="3"/>
        <v>280900995.94</v>
      </c>
      <c r="E12" s="11">
        <f t="shared" si="3"/>
        <v>316389624.89999998</v>
      </c>
      <c r="F12" s="11">
        <f t="shared" si="3"/>
        <v>0</v>
      </c>
      <c r="G12" s="11">
        <f t="shared" si="3"/>
        <v>316389624.89999998</v>
      </c>
      <c r="H12" s="11">
        <f t="shared" si="3"/>
        <v>990888663.07999992</v>
      </c>
      <c r="I12" s="37">
        <f t="shared" si="2"/>
        <v>0.75797836787384898</v>
      </c>
      <c r="L12" s="138"/>
      <c r="M12" s="138"/>
      <c r="N12" s="138"/>
      <c r="O12" s="138"/>
      <c r="P12" s="138"/>
      <c r="Q12" s="139"/>
    </row>
    <row r="13" spans="1:17" s="5" customFormat="1" x14ac:dyDescent="0.25">
      <c r="A13" s="13" t="s">
        <v>13</v>
      </c>
      <c r="B13" s="14">
        <v>762011714.89999866</v>
      </c>
      <c r="C13" s="14">
        <v>764604066.78999853</v>
      </c>
      <c r="D13" s="14">
        <v>70514974.530001581</v>
      </c>
      <c r="E13" s="14">
        <v>91528972.670001507</v>
      </c>
      <c r="F13" s="14">
        <v>14281437.000000011</v>
      </c>
      <c r="G13" s="14">
        <f t="shared" si="0"/>
        <v>105810409.67000152</v>
      </c>
      <c r="H13" s="14">
        <f t="shared" ref="H13:H28" si="4">C13-G13</f>
        <v>658793657.11999702</v>
      </c>
      <c r="I13" s="36">
        <f t="shared" si="2"/>
        <v>0.86161411602972449</v>
      </c>
      <c r="L13" s="138"/>
      <c r="M13" s="138"/>
      <c r="N13" s="138"/>
      <c r="O13" s="138"/>
      <c r="P13" s="138"/>
      <c r="Q13" s="139"/>
    </row>
    <row r="14" spans="1:17" s="5" customFormat="1" x14ac:dyDescent="0.25">
      <c r="A14" s="6" t="s">
        <v>14</v>
      </c>
      <c r="B14" s="7">
        <v>83033266.169999897</v>
      </c>
      <c r="C14" s="7">
        <v>82706481.219999909</v>
      </c>
      <c r="D14" s="7">
        <v>6535361.8799999729</v>
      </c>
      <c r="E14" s="7">
        <v>9159432.7899999693</v>
      </c>
      <c r="F14" s="7">
        <v>1937529.5800000005</v>
      </c>
      <c r="G14" s="7">
        <f t="shared" si="0"/>
        <v>11096962.369999969</v>
      </c>
      <c r="H14" s="7">
        <f t="shared" si="4"/>
        <v>71609518.849999934</v>
      </c>
      <c r="I14" s="36">
        <f t="shared" si="2"/>
        <v>0.86582717332052894</v>
      </c>
      <c r="L14" s="138"/>
      <c r="M14" s="138"/>
      <c r="N14" s="138"/>
      <c r="O14" s="138"/>
      <c r="P14" s="138"/>
      <c r="Q14" s="139"/>
    </row>
    <row r="15" spans="1:17" s="5" customFormat="1" x14ac:dyDescent="0.25">
      <c r="A15" s="6" t="s">
        <v>15</v>
      </c>
      <c r="B15" s="7">
        <v>24581982.5</v>
      </c>
      <c r="C15" s="7">
        <v>19561880.490000002</v>
      </c>
      <c r="D15" s="7">
        <v>1075530.8500000006</v>
      </c>
      <c r="E15" s="7">
        <v>3954800.9500000016</v>
      </c>
      <c r="F15" s="7">
        <v>284466.64999999997</v>
      </c>
      <c r="G15" s="7">
        <f t="shared" si="0"/>
        <v>4239267.6000000015</v>
      </c>
      <c r="H15" s="7">
        <f t="shared" si="4"/>
        <v>15322612.890000001</v>
      </c>
      <c r="I15" s="36">
        <f t="shared" si="2"/>
        <v>0.78328936207502609</v>
      </c>
      <c r="L15" s="138"/>
      <c r="M15" s="138"/>
      <c r="N15" s="138"/>
      <c r="O15" s="138"/>
      <c r="P15" s="138"/>
      <c r="Q15" s="139"/>
    </row>
    <row r="16" spans="1:17" s="5" customFormat="1" x14ac:dyDescent="0.2">
      <c r="A16" s="6" t="s">
        <v>16</v>
      </c>
      <c r="B16" s="7">
        <v>1207535.48</v>
      </c>
      <c r="C16" s="7">
        <v>1207535.48</v>
      </c>
      <c r="D16" s="7">
        <v>815.89999999999986</v>
      </c>
      <c r="E16" s="7">
        <v>1165.8999999999999</v>
      </c>
      <c r="F16" s="7">
        <v>4415</v>
      </c>
      <c r="G16" s="7">
        <f t="shared" si="0"/>
        <v>5580.9</v>
      </c>
      <c r="H16" s="7">
        <f t="shared" si="4"/>
        <v>1201954.58</v>
      </c>
      <c r="I16" s="36">
        <f t="shared" si="2"/>
        <v>0.99537827244628874</v>
      </c>
      <c r="M16" s="139"/>
      <c r="N16" s="139"/>
      <c r="O16" s="139"/>
      <c r="P16" s="139"/>
      <c r="Q16" s="139"/>
    </row>
    <row r="17" spans="1:18" s="5" customFormat="1" x14ac:dyDescent="0.2">
      <c r="A17" s="6" t="s">
        <v>17</v>
      </c>
      <c r="B17" s="7">
        <v>16636615.399999974</v>
      </c>
      <c r="C17" s="7">
        <v>16809331.399999976</v>
      </c>
      <c r="D17" s="7">
        <v>1142256.2600000056</v>
      </c>
      <c r="E17" s="7">
        <v>1261681.1200000057</v>
      </c>
      <c r="F17" s="7">
        <v>172262.75999999995</v>
      </c>
      <c r="G17" s="7">
        <f t="shared" si="0"/>
        <v>1433943.8800000057</v>
      </c>
      <c r="H17" s="7">
        <f t="shared" si="4"/>
        <v>15375387.51999997</v>
      </c>
      <c r="I17" s="36">
        <f t="shared" si="2"/>
        <v>0.91469358025745107</v>
      </c>
      <c r="M17" s="139"/>
      <c r="N17" s="139"/>
      <c r="O17" s="139"/>
      <c r="P17" s="139"/>
      <c r="Q17" s="139"/>
    </row>
    <row r="18" spans="1:18" s="5" customFormat="1" x14ac:dyDescent="0.2">
      <c r="A18" s="6" t="s">
        <v>18</v>
      </c>
      <c r="B18" s="7">
        <v>44507615.480000004</v>
      </c>
      <c r="C18" s="7">
        <v>44650819.480000004</v>
      </c>
      <c r="D18" s="7">
        <v>1327756.7000000023</v>
      </c>
      <c r="E18" s="7">
        <v>3312994.8300000029</v>
      </c>
      <c r="F18" s="7">
        <v>1103642.8499999999</v>
      </c>
      <c r="G18" s="7">
        <f t="shared" si="0"/>
        <v>4416637.6800000025</v>
      </c>
      <c r="H18" s="7">
        <f t="shared" si="4"/>
        <v>40234181.800000004</v>
      </c>
      <c r="I18" s="36">
        <f t="shared" si="2"/>
        <v>0.90108495809403233</v>
      </c>
      <c r="M18" s="139"/>
      <c r="N18" s="139"/>
      <c r="O18" s="139"/>
      <c r="P18" s="139"/>
      <c r="Q18" s="139"/>
    </row>
    <row r="19" spans="1:18" s="5" customFormat="1" x14ac:dyDescent="0.2">
      <c r="A19" s="6" t="s">
        <v>19</v>
      </c>
      <c r="B19" s="7">
        <v>74210443.609999985</v>
      </c>
      <c r="C19" s="7">
        <v>74175443.609999985</v>
      </c>
      <c r="D19" s="7">
        <v>6721791.7899999144</v>
      </c>
      <c r="E19" s="7">
        <v>15485821.19999991</v>
      </c>
      <c r="F19" s="7">
        <v>899.98</v>
      </c>
      <c r="G19" s="7">
        <f t="shared" si="0"/>
        <v>15486721.17999991</v>
      </c>
      <c r="H19" s="7">
        <f t="shared" si="4"/>
        <v>58688722.430000074</v>
      </c>
      <c r="I19" s="36">
        <f t="shared" si="2"/>
        <v>0.79121498401241697</v>
      </c>
      <c r="M19" s="139"/>
      <c r="N19" s="139"/>
      <c r="O19" s="139"/>
      <c r="P19" s="139"/>
      <c r="Q19" s="139"/>
    </row>
    <row r="20" spans="1:18" s="5" customFormat="1" x14ac:dyDescent="0.2">
      <c r="A20" s="6" t="s">
        <v>20</v>
      </c>
      <c r="B20" s="7">
        <v>18471466.359999999</v>
      </c>
      <c r="C20" s="7">
        <v>18238262.359999999</v>
      </c>
      <c r="D20" s="7">
        <v>1214035.9899999998</v>
      </c>
      <c r="E20" s="7">
        <v>4543272.879999999</v>
      </c>
      <c r="F20" s="7">
        <v>1700157.3999999997</v>
      </c>
      <c r="G20" s="7">
        <f t="shared" si="0"/>
        <v>6243430.2799999984</v>
      </c>
      <c r="H20" s="7">
        <f t="shared" si="4"/>
        <v>11994832.080000002</v>
      </c>
      <c r="I20" s="36">
        <f t="shared" si="2"/>
        <v>0.65767406144496332</v>
      </c>
      <c r="M20" s="139"/>
      <c r="N20" s="139"/>
      <c r="O20" s="139"/>
      <c r="P20" s="139"/>
      <c r="Q20" s="139"/>
    </row>
    <row r="21" spans="1:18" s="5" customFormat="1" x14ac:dyDescent="0.2">
      <c r="A21" s="6" t="s">
        <v>21</v>
      </c>
      <c r="B21" s="7">
        <v>180982269.41999996</v>
      </c>
      <c r="C21" s="7">
        <v>180839269.41999996</v>
      </c>
      <c r="D21" s="7">
        <v>9749684.3799999692</v>
      </c>
      <c r="E21" s="7">
        <v>28821658.509999979</v>
      </c>
      <c r="F21" s="7">
        <v>21696112.830000002</v>
      </c>
      <c r="G21" s="7">
        <f t="shared" si="0"/>
        <v>50517771.339999981</v>
      </c>
      <c r="H21" s="7">
        <f t="shared" si="4"/>
        <v>130321498.07999998</v>
      </c>
      <c r="I21" s="36">
        <f t="shared" si="2"/>
        <v>0.72064822257895633</v>
      </c>
      <c r="M21" s="139"/>
      <c r="N21" s="139"/>
      <c r="O21" s="139"/>
      <c r="P21" s="139"/>
      <c r="Q21" s="139"/>
    </row>
    <row r="22" spans="1:18" s="5" customFormat="1" x14ac:dyDescent="0.2">
      <c r="A22" s="6" t="s">
        <v>22</v>
      </c>
      <c r="B22" s="7">
        <v>80416367.840000004</v>
      </c>
      <c r="C22" s="7">
        <v>80541367.840000004</v>
      </c>
      <c r="D22" s="7">
        <v>5047251.7699999996</v>
      </c>
      <c r="E22" s="7">
        <v>8646446.870000001</v>
      </c>
      <c r="F22" s="7">
        <v>1533464.19</v>
      </c>
      <c r="G22" s="7">
        <f t="shared" si="0"/>
        <v>10179911.060000001</v>
      </c>
      <c r="H22" s="7">
        <f t="shared" si="4"/>
        <v>70361456.780000001</v>
      </c>
      <c r="I22" s="36">
        <f t="shared" si="2"/>
        <v>0.87360642942862643</v>
      </c>
      <c r="M22" s="139"/>
      <c r="N22" s="139"/>
      <c r="O22" s="139"/>
      <c r="P22" s="139"/>
      <c r="Q22" s="139"/>
    </row>
    <row r="23" spans="1:18" s="5" customFormat="1" x14ac:dyDescent="0.2">
      <c r="A23" s="6" t="s">
        <v>23</v>
      </c>
      <c r="B23" s="7">
        <v>28891250.389999993</v>
      </c>
      <c r="C23" s="7">
        <v>31620616.249999993</v>
      </c>
      <c r="D23" s="7">
        <v>2540314.9600000018</v>
      </c>
      <c r="E23" s="7">
        <v>6835177.4700000016</v>
      </c>
      <c r="F23" s="7">
        <v>2303393.8399999994</v>
      </c>
      <c r="G23" s="7">
        <f t="shared" si="0"/>
        <v>9138571.3100000005</v>
      </c>
      <c r="H23" s="7">
        <f t="shared" si="4"/>
        <v>22482044.93999999</v>
      </c>
      <c r="I23" s="36">
        <f t="shared" si="2"/>
        <v>0.71099325712856709</v>
      </c>
      <c r="M23" s="139"/>
      <c r="N23" s="139"/>
      <c r="O23" s="139"/>
      <c r="P23" s="139"/>
      <c r="Q23" s="139"/>
    </row>
    <row r="24" spans="1:18" s="5" customFormat="1" x14ac:dyDescent="0.25">
      <c r="A24" s="6" t="s">
        <v>24</v>
      </c>
      <c r="B24" s="7">
        <v>1932771.7399999998</v>
      </c>
      <c r="C24" s="7">
        <v>1932771.7399999998</v>
      </c>
      <c r="D24" s="7">
        <v>115769.70000000001</v>
      </c>
      <c r="E24" s="7">
        <v>160407.55000000002</v>
      </c>
      <c r="F24" s="7">
        <v>0</v>
      </c>
      <c r="G24" s="7">
        <f t="shared" si="0"/>
        <v>160407.55000000002</v>
      </c>
      <c r="H24" s="7">
        <f t="shared" si="4"/>
        <v>1772364.1899999997</v>
      </c>
      <c r="I24" s="36">
        <f t="shared" si="2"/>
        <v>0.91700646968275723</v>
      </c>
      <c r="L24" s="1"/>
      <c r="M24" s="138"/>
      <c r="N24" s="138"/>
      <c r="O24" s="138"/>
      <c r="P24" s="138"/>
      <c r="Q24" s="138"/>
    </row>
    <row r="25" spans="1:18" s="5" customFormat="1" x14ac:dyDescent="0.25">
      <c r="A25" s="6" t="s">
        <v>31</v>
      </c>
      <c r="B25" s="7">
        <v>1005000</v>
      </c>
      <c r="C25" s="7">
        <v>1005000</v>
      </c>
      <c r="D25" s="7">
        <v>0</v>
      </c>
      <c r="E25" s="7">
        <v>0</v>
      </c>
      <c r="F25" s="7">
        <v>0</v>
      </c>
      <c r="G25" s="7">
        <f t="shared" si="0"/>
        <v>0</v>
      </c>
      <c r="H25" s="7">
        <f t="shared" si="4"/>
        <v>1005000</v>
      </c>
      <c r="I25" s="36">
        <f t="shared" si="2"/>
        <v>1</v>
      </c>
      <c r="L25" s="1"/>
      <c r="M25" s="138"/>
      <c r="N25" s="138"/>
      <c r="O25" s="138"/>
      <c r="P25" s="138"/>
      <c r="Q25" s="138"/>
    </row>
    <row r="26" spans="1:18" s="5" customFormat="1" x14ac:dyDescent="0.25">
      <c r="A26" s="6" t="s">
        <v>33</v>
      </c>
      <c r="B26" s="7">
        <v>1346246.49</v>
      </c>
      <c r="C26" s="7">
        <v>1346246.49</v>
      </c>
      <c r="D26" s="7">
        <v>0</v>
      </c>
      <c r="E26" s="7">
        <v>0</v>
      </c>
      <c r="F26" s="7">
        <v>0</v>
      </c>
      <c r="G26" s="7">
        <f t="shared" ref="G26" si="5">SUM(E26:F26)</f>
        <v>0</v>
      </c>
      <c r="H26" s="7">
        <f t="shared" ref="H26" si="6">C26-G26</f>
        <v>1346246.49</v>
      </c>
      <c r="I26" s="36">
        <f t="shared" ref="I26" si="7">IF(C26=0,"NA",H26/C26)</f>
        <v>1</v>
      </c>
      <c r="K26" s="1"/>
      <c r="L26" s="1"/>
      <c r="M26" s="138"/>
      <c r="N26" s="138"/>
      <c r="O26" s="138"/>
      <c r="P26" s="138"/>
      <c r="Q26" s="138"/>
      <c r="R26" s="1"/>
    </row>
    <row r="27" spans="1:18" s="5" customFormat="1" x14ac:dyDescent="0.25">
      <c r="A27" s="6" t="s">
        <v>26</v>
      </c>
      <c r="B27" s="7">
        <v>7837334</v>
      </c>
      <c r="C27" s="7">
        <v>7837334</v>
      </c>
      <c r="D27" s="7">
        <v>0</v>
      </c>
      <c r="E27" s="7">
        <v>0</v>
      </c>
      <c r="F27" s="7">
        <v>0</v>
      </c>
      <c r="G27" s="7">
        <f t="shared" si="0"/>
        <v>0</v>
      </c>
      <c r="H27" s="7">
        <f t="shared" si="4"/>
        <v>7837334</v>
      </c>
      <c r="I27" s="36">
        <f t="shared" si="2"/>
        <v>1</v>
      </c>
      <c r="K27" s="1"/>
      <c r="L27" s="1"/>
      <c r="M27" s="138"/>
      <c r="N27" s="138"/>
      <c r="O27" s="138"/>
      <c r="P27" s="138"/>
      <c r="Q27" s="138"/>
      <c r="R27" s="1"/>
    </row>
    <row r="28" spans="1:18" s="5" customFormat="1" x14ac:dyDescent="0.25">
      <c r="A28" s="6" t="s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f t="shared" si="0"/>
        <v>0</v>
      </c>
      <c r="H28" s="7">
        <f t="shared" si="4"/>
        <v>0</v>
      </c>
      <c r="I28" s="36" t="str">
        <f t="shared" si="2"/>
        <v>NA</v>
      </c>
      <c r="K28" s="1"/>
      <c r="L28" s="1"/>
      <c r="M28" s="138"/>
      <c r="N28" s="138"/>
      <c r="O28" s="138"/>
      <c r="P28" s="138"/>
      <c r="Q28" s="138"/>
      <c r="R28" s="1"/>
    </row>
    <row r="29" spans="1:18" s="5" customFormat="1" x14ac:dyDescent="0.25">
      <c r="A29" s="10" t="s">
        <v>27</v>
      </c>
      <c r="B29" s="11">
        <f t="shared" ref="B29:H29" si="8">SUM(B13:B28)</f>
        <v>1327071879.7799985</v>
      </c>
      <c r="C29" s="11">
        <f t="shared" si="8"/>
        <v>1327076426.5699985</v>
      </c>
      <c r="D29" s="11">
        <f t="shared" si="8"/>
        <v>105985544.71000144</v>
      </c>
      <c r="E29" s="11">
        <f t="shared" si="8"/>
        <v>173711832.74000138</v>
      </c>
      <c r="F29" s="11">
        <f t="shared" si="8"/>
        <v>45017782.080000006</v>
      </c>
      <c r="G29" s="11">
        <f t="shared" si="8"/>
        <v>218729614.82000142</v>
      </c>
      <c r="H29" s="11">
        <f t="shared" si="8"/>
        <v>1108346811.7499971</v>
      </c>
      <c r="I29" s="37">
        <f>IF(C29=0,"NA",H29/C29)</f>
        <v>0.83517933825006863</v>
      </c>
      <c r="K29" s="1"/>
      <c r="L29" s="1"/>
      <c r="M29" s="138"/>
      <c r="N29" s="138"/>
      <c r="O29" s="138"/>
      <c r="P29" s="138"/>
      <c r="Q29" s="138"/>
      <c r="R29" s="1"/>
    </row>
    <row r="30" spans="1:18" s="5" customFormat="1" x14ac:dyDescent="0.25">
      <c r="A30" s="13"/>
      <c r="B30" s="14"/>
      <c r="C30" s="14"/>
      <c r="D30" s="14"/>
      <c r="E30" s="14"/>
      <c r="F30" s="14"/>
      <c r="G30" s="14"/>
      <c r="H30" s="14"/>
      <c r="I30" s="16"/>
      <c r="K30" s="1"/>
      <c r="L30" s="1"/>
      <c r="M30" s="138"/>
      <c r="N30" s="138"/>
      <c r="O30" s="138"/>
      <c r="P30" s="138"/>
      <c r="Q30" s="138"/>
      <c r="R30" s="1"/>
    </row>
    <row r="31" spans="1:18" s="5" customFormat="1" ht="24.95" customHeight="1" x14ac:dyDescent="0.25">
      <c r="A31" s="6" t="s">
        <v>28</v>
      </c>
      <c r="B31" s="7">
        <f>B12-B29</f>
        <v>-21872401.329998493</v>
      </c>
      <c r="C31" s="7">
        <f>C12-C29</f>
        <v>-19798138.589998484</v>
      </c>
      <c r="D31" s="7">
        <f>D12-D29</f>
        <v>174915451.22999856</v>
      </c>
      <c r="E31" s="7">
        <f>E12-E29</f>
        <v>142677792.1599986</v>
      </c>
      <c r="F31" s="7"/>
      <c r="G31" s="7">
        <f>G12-G29</f>
        <v>97660010.079998553</v>
      </c>
      <c r="H31" s="7"/>
      <c r="I31" s="17"/>
      <c r="K31" s="1"/>
      <c r="L31" s="1"/>
      <c r="M31" s="138"/>
      <c r="N31" s="138"/>
      <c r="O31" s="138"/>
      <c r="P31" s="138"/>
      <c r="Q31" s="138"/>
      <c r="R31" s="1"/>
    </row>
    <row r="32" spans="1:18" s="5" customFormat="1" x14ac:dyDescent="0.25">
      <c r="A32" s="8"/>
      <c r="B32" s="9"/>
      <c r="C32" s="9"/>
      <c r="D32" s="9"/>
      <c r="E32" s="9"/>
      <c r="F32" s="9"/>
      <c r="G32" s="9"/>
      <c r="H32" s="9"/>
      <c r="I32" s="18"/>
      <c r="K32" s="1"/>
      <c r="L32" s="1"/>
      <c r="M32" s="138"/>
      <c r="N32" s="138"/>
      <c r="O32" s="138"/>
      <c r="P32" s="138"/>
      <c r="Q32" s="138"/>
      <c r="R32" s="1"/>
    </row>
    <row r="33" spans="1:21" s="5" customFormat="1" x14ac:dyDescent="0.25">
      <c r="A33" s="151" t="s">
        <v>78</v>
      </c>
      <c r="B33" s="21"/>
      <c r="C33" s="21"/>
      <c r="D33" s="21"/>
      <c r="E33" s="21">
        <v>265464594.49999699</v>
      </c>
      <c r="F33" s="21"/>
      <c r="G33" s="21">
        <f>E33</f>
        <v>265464594.49999699</v>
      </c>
      <c r="H33" s="21"/>
      <c r="I33" s="22"/>
      <c r="K33" s="1"/>
      <c r="L33" s="1"/>
      <c r="M33" s="138"/>
      <c r="N33" s="138"/>
      <c r="O33" s="138"/>
      <c r="P33" s="138"/>
      <c r="Q33" s="138"/>
      <c r="R33" s="1"/>
      <c r="S33" s="1"/>
      <c r="T33" s="1"/>
      <c r="U33" s="1"/>
    </row>
    <row r="34" spans="1:21" s="5" customFormat="1" x14ac:dyDescent="0.25">
      <c r="A34" s="151" t="s">
        <v>79</v>
      </c>
      <c r="B34" s="21"/>
      <c r="C34" s="21"/>
      <c r="D34" s="21"/>
      <c r="E34" s="21">
        <v>45000000</v>
      </c>
      <c r="F34" s="21"/>
      <c r="G34" s="21">
        <f>E34</f>
        <v>45000000</v>
      </c>
      <c r="H34" s="21"/>
      <c r="I34" s="22"/>
      <c r="K34" s="1"/>
      <c r="L34" s="1"/>
      <c r="M34" s="138"/>
      <c r="N34" s="138"/>
      <c r="O34" s="138"/>
      <c r="P34" s="138"/>
      <c r="Q34" s="138"/>
      <c r="R34" s="1"/>
      <c r="S34" s="1"/>
      <c r="T34" s="1"/>
      <c r="U34" s="1"/>
    </row>
    <row r="35" spans="1:21" s="5" customFormat="1" ht="24.75" customHeight="1" x14ac:dyDescent="0.25">
      <c r="A35" s="19" t="s">
        <v>80</v>
      </c>
      <c r="B35" s="21"/>
      <c r="C35" s="21"/>
      <c r="D35" s="21"/>
      <c r="E35" s="21">
        <f>E33-E34</f>
        <v>220464594.49999699</v>
      </c>
      <c r="F35" s="21"/>
      <c r="G35" s="21">
        <f>E35</f>
        <v>220464594.49999699</v>
      </c>
      <c r="H35" s="21"/>
      <c r="I35" s="22"/>
      <c r="K35" s="1"/>
      <c r="L35" s="1"/>
      <c r="M35" s="138"/>
      <c r="N35" s="138"/>
      <c r="O35" s="138"/>
      <c r="P35" s="138"/>
      <c r="Q35" s="138"/>
      <c r="R35" s="1"/>
      <c r="S35" s="1"/>
      <c r="T35" s="1"/>
      <c r="U35" s="1"/>
    </row>
    <row r="36" spans="1:21" s="5" customFormat="1" ht="27.75" customHeight="1" thickBot="1" x14ac:dyDescent="0.3">
      <c r="A36" s="23" t="s">
        <v>29</v>
      </c>
      <c r="B36" s="25"/>
      <c r="C36" s="25"/>
      <c r="D36" s="25"/>
      <c r="E36" s="25">
        <f>+E35+E31</f>
        <v>363142386.65999556</v>
      </c>
      <c r="F36" s="25"/>
      <c r="G36" s="25">
        <f>+G35+G31</f>
        <v>318124604.57999551</v>
      </c>
      <c r="H36" s="25"/>
      <c r="I36" s="26"/>
      <c r="K36" s="1"/>
      <c r="L36" s="1"/>
      <c r="M36" s="138"/>
      <c r="N36" s="138"/>
      <c r="O36" s="138"/>
      <c r="P36" s="138"/>
      <c r="Q36" s="138"/>
      <c r="R36" s="1"/>
      <c r="S36" s="1"/>
      <c r="T36" s="1"/>
      <c r="U36" s="1"/>
    </row>
    <row r="37" spans="1:21" x14ac:dyDescent="0.25">
      <c r="A37" s="5"/>
      <c r="B37" s="34"/>
      <c r="C37" s="34"/>
      <c r="D37" s="34"/>
      <c r="E37" s="34"/>
      <c r="F37" s="34"/>
      <c r="G37" s="34"/>
      <c r="H37" s="34"/>
      <c r="I37" s="5"/>
      <c r="J37" s="5"/>
    </row>
    <row r="44" spans="1:21" x14ac:dyDescent="0.25">
      <c r="I44" s="31"/>
    </row>
    <row r="45" spans="1:21" x14ac:dyDescent="0.25">
      <c r="I45" s="3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topLeftCell="G46" workbookViewId="0">
      <selection activeCell="R55" sqref="R55"/>
    </sheetView>
  </sheetViews>
  <sheetFormatPr defaultRowHeight="12.75" x14ac:dyDescent="0.2"/>
  <cols>
    <col min="1" max="1" width="32.42578125" style="52" bestFit="1" customWidth="1"/>
    <col min="2" max="2" width="15.7109375" style="52" customWidth="1"/>
    <col min="3" max="3" width="18.7109375" style="52" customWidth="1"/>
    <col min="4" max="4" width="45.5703125" style="52" bestFit="1" customWidth="1"/>
    <col min="5" max="5" width="16.140625" style="52" customWidth="1"/>
    <col min="6" max="6" width="12.5703125" style="51" customWidth="1"/>
    <col min="7" max="7" width="13.42578125" style="51" bestFit="1" customWidth="1"/>
    <col min="8" max="8" width="14.42578125" style="51" bestFit="1" customWidth="1"/>
    <col min="9" max="9" width="16" style="51" bestFit="1" customWidth="1"/>
    <col min="10" max="12" width="12.5703125" style="51" customWidth="1"/>
    <col min="13" max="16" width="13.42578125" style="51" bestFit="1" customWidth="1"/>
    <col min="17" max="17" width="12.5703125" style="51" customWidth="1"/>
    <col min="18" max="18" width="69.140625" style="52" customWidth="1"/>
    <col min="19" max="20" width="17" style="100" customWidth="1"/>
    <col min="21" max="21" width="17" style="145" bestFit="1" customWidth="1"/>
    <col min="22" max="16384" width="9.140625" style="52"/>
  </cols>
  <sheetData>
    <row r="1" spans="1:21" ht="21" thickBot="1" x14ac:dyDescent="0.25">
      <c r="A1" s="159" t="s">
        <v>77</v>
      </c>
      <c r="B1" s="160"/>
      <c r="C1" s="160"/>
      <c r="D1" s="160"/>
      <c r="E1" s="160"/>
      <c r="F1" s="160"/>
      <c r="G1" s="161"/>
      <c r="H1" s="50"/>
    </row>
    <row r="2" spans="1:21" x14ac:dyDescent="0.2">
      <c r="A2" s="53"/>
      <c r="B2" s="50"/>
      <c r="C2" s="53"/>
      <c r="D2" s="53"/>
      <c r="E2" s="53"/>
      <c r="F2" s="50"/>
      <c r="G2" s="50"/>
    </row>
    <row r="3" spans="1:21" x14ac:dyDescent="0.2">
      <c r="A3" s="162" t="s">
        <v>40</v>
      </c>
      <c r="B3" s="163"/>
      <c r="C3" s="163"/>
      <c r="D3" s="163"/>
      <c r="E3" s="163"/>
      <c r="F3" s="163"/>
      <c r="G3" s="163"/>
    </row>
    <row r="4" spans="1:21" ht="13.5" thickBot="1" x14ac:dyDescent="0.25">
      <c r="A4" s="53"/>
      <c r="B4" s="50"/>
      <c r="C4" s="53"/>
      <c r="D4" s="53"/>
      <c r="E4" s="53"/>
      <c r="F4" s="50"/>
      <c r="G4" s="50"/>
    </row>
    <row r="5" spans="1:21" ht="26.25" thickBot="1" x14ac:dyDescent="0.25">
      <c r="B5" s="54" t="s">
        <v>41</v>
      </c>
      <c r="C5" s="55" t="s">
        <v>42</v>
      </c>
      <c r="D5" s="53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21" ht="13.5" thickBot="1" x14ac:dyDescent="0.25">
      <c r="A6" s="56" t="s">
        <v>43</v>
      </c>
      <c r="B6" s="57">
        <v>1327076426.5699999</v>
      </c>
      <c r="C6" s="58">
        <f>SUM(F25:Q25)</f>
        <v>173711832.74000123</v>
      </c>
      <c r="D6" s="53"/>
      <c r="E6" s="53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</row>
    <row r="7" spans="1:21" ht="26.25" thickBot="1" x14ac:dyDescent="0.25">
      <c r="B7" s="50"/>
      <c r="C7" s="59"/>
      <c r="D7" s="60"/>
      <c r="E7" s="61" t="s">
        <v>44</v>
      </c>
      <c r="F7" s="62" t="s">
        <v>45</v>
      </c>
      <c r="G7" s="63" t="s">
        <v>46</v>
      </c>
      <c r="H7" s="63" t="s">
        <v>47</v>
      </c>
      <c r="I7" s="63" t="s">
        <v>48</v>
      </c>
      <c r="J7" s="63" t="s">
        <v>49</v>
      </c>
      <c r="K7" s="63" t="s">
        <v>50</v>
      </c>
      <c r="L7" s="63" t="s">
        <v>51</v>
      </c>
      <c r="M7" s="63" t="s">
        <v>52</v>
      </c>
      <c r="N7" s="63" t="s">
        <v>53</v>
      </c>
      <c r="O7" s="63" t="s">
        <v>54</v>
      </c>
      <c r="P7" s="63" t="s">
        <v>55</v>
      </c>
      <c r="Q7" s="64" t="s">
        <v>56</v>
      </c>
    </row>
    <row r="8" spans="1:21" x14ac:dyDescent="0.2">
      <c r="B8" s="51"/>
      <c r="D8" s="53"/>
      <c r="E8" s="65"/>
      <c r="P8" s="52"/>
      <c r="Q8" s="52"/>
    </row>
    <row r="9" spans="1:21" x14ac:dyDescent="0.2">
      <c r="B9" s="51"/>
      <c r="D9" s="53" t="s">
        <v>13</v>
      </c>
      <c r="E9" s="66">
        <f>SUM(F9:Q9)</f>
        <v>91528972.670001477</v>
      </c>
      <c r="F9" s="51">
        <f>9808420.78-801492.680000011</f>
        <v>9006928.0999999885</v>
      </c>
      <c r="G9" s="51">
        <f>12409518.8299999-402448.789999992</f>
        <v>12007070.039999908</v>
      </c>
      <c r="H9" s="51">
        <v>70514974.530001581</v>
      </c>
      <c r="P9" s="52"/>
      <c r="Q9" s="52"/>
      <c r="R9" s="52" t="s">
        <v>13</v>
      </c>
      <c r="S9" s="100">
        <v>91528972.670001507</v>
      </c>
      <c r="T9" s="100">
        <f>S9-E9</f>
        <v>0</v>
      </c>
      <c r="U9" s="100">
        <v>-402448.789999992</v>
      </c>
    </row>
    <row r="10" spans="1:21" x14ac:dyDescent="0.2">
      <c r="B10" s="51"/>
      <c r="D10" s="53" t="s">
        <v>14</v>
      </c>
      <c r="E10" s="66">
        <f t="shared" ref="E10:E24" si="0">SUM(F10:Q10)</f>
        <v>9159432.7899999656</v>
      </c>
      <c r="F10" s="51">
        <f>744217.770000002+10105.1699999985</f>
        <v>754322.94000000053</v>
      </c>
      <c r="G10" s="51">
        <f>1863052.67999999+6695.29000000283</f>
        <v>1869747.9699999928</v>
      </c>
      <c r="H10" s="51">
        <v>6535361.8799999729</v>
      </c>
      <c r="P10" s="52"/>
      <c r="Q10" s="52"/>
      <c r="R10" s="52" t="s">
        <v>14</v>
      </c>
      <c r="S10" s="100">
        <v>9159432.7899999693</v>
      </c>
      <c r="T10" s="100">
        <f t="shared" ref="T10:T24" si="1">S10-E10</f>
        <v>0</v>
      </c>
      <c r="U10" s="100">
        <v>6695.2900000028303</v>
      </c>
    </row>
    <row r="11" spans="1:21" x14ac:dyDescent="0.2">
      <c r="B11" s="51"/>
      <c r="D11" s="53" t="s">
        <v>15</v>
      </c>
      <c r="E11" s="66">
        <f t="shared" si="0"/>
        <v>3954800.9500000011</v>
      </c>
      <c r="F11" s="51">
        <f>1063610.27-3992.91000000014</f>
        <v>1059617.3599999999</v>
      </c>
      <c r="G11" s="51">
        <f>1799349.93+20302.8100000009</f>
        <v>1819652.7400000009</v>
      </c>
      <c r="H11" s="51">
        <v>1075530.8500000006</v>
      </c>
      <c r="P11" s="52"/>
      <c r="Q11" s="52"/>
      <c r="R11" s="52" t="s">
        <v>15</v>
      </c>
      <c r="S11" s="100">
        <v>3954800.9500000016</v>
      </c>
      <c r="T11" s="100">
        <f t="shared" si="1"/>
        <v>0</v>
      </c>
      <c r="U11" s="100">
        <v>20302.8100000009</v>
      </c>
    </row>
    <row r="12" spans="1:21" x14ac:dyDescent="0.2">
      <c r="B12" s="51"/>
      <c r="D12" s="53" t="s">
        <v>16</v>
      </c>
      <c r="E12" s="66">
        <f t="shared" si="0"/>
        <v>1165.8999999999999</v>
      </c>
      <c r="F12" s="51">
        <v>0</v>
      </c>
      <c r="G12" s="51">
        <v>350</v>
      </c>
      <c r="H12" s="51">
        <v>815.89999999999986</v>
      </c>
      <c r="P12" s="52"/>
      <c r="Q12" s="52"/>
      <c r="R12" s="52" t="s">
        <v>16</v>
      </c>
      <c r="S12" s="100">
        <v>1165.8999999999999</v>
      </c>
      <c r="T12" s="100">
        <f t="shared" si="1"/>
        <v>0</v>
      </c>
      <c r="U12" s="100">
        <v>0</v>
      </c>
    </row>
    <row r="13" spans="1:21" x14ac:dyDescent="0.2">
      <c r="B13" s="51"/>
      <c r="D13" s="53" t="s">
        <v>17</v>
      </c>
      <c r="E13" s="66">
        <f t="shared" si="0"/>
        <v>1261681.1200000057</v>
      </c>
      <c r="F13" s="51">
        <v>48606.109999999986</v>
      </c>
      <c r="G13" s="51">
        <f>67238.6+3580.15000000013</f>
        <v>70818.750000000131</v>
      </c>
      <c r="H13" s="51">
        <v>1142256.2600000056</v>
      </c>
      <c r="P13" s="52"/>
      <c r="Q13" s="52"/>
      <c r="R13" s="52" t="s">
        <v>17</v>
      </c>
      <c r="S13" s="100">
        <v>1261681.1200000057</v>
      </c>
      <c r="T13" s="100">
        <f t="shared" si="1"/>
        <v>0</v>
      </c>
      <c r="U13" s="100">
        <v>3580.1500000001301</v>
      </c>
    </row>
    <row r="14" spans="1:21" x14ac:dyDescent="0.2">
      <c r="B14" s="51"/>
      <c r="D14" s="53" t="s">
        <v>18</v>
      </c>
      <c r="E14" s="66">
        <f t="shared" si="0"/>
        <v>3312994.830000001</v>
      </c>
      <c r="F14" s="51">
        <f>902161.310000002-151.900000002235</f>
        <v>902009.4099999998</v>
      </c>
      <c r="G14" s="51">
        <f>1317728.15-234499.430000001</f>
        <v>1083228.7199999988</v>
      </c>
      <c r="H14" s="51">
        <v>1327756.7000000023</v>
      </c>
      <c r="P14" s="52"/>
      <c r="Q14" s="52"/>
      <c r="R14" s="52" t="s">
        <v>18</v>
      </c>
      <c r="S14" s="100">
        <v>3312994.8300000029</v>
      </c>
      <c r="T14" s="100">
        <f t="shared" si="1"/>
        <v>0</v>
      </c>
      <c r="U14" s="100">
        <v>-234499.43000000101</v>
      </c>
    </row>
    <row r="15" spans="1:21" x14ac:dyDescent="0.2">
      <c r="A15" s="67" t="s">
        <v>57</v>
      </c>
      <c r="B15" s="131">
        <f>B6-C6</f>
        <v>1153364593.8299987</v>
      </c>
      <c r="C15" s="68">
        <f>B15/$B$6</f>
        <v>0.86910186236298248</v>
      </c>
      <c r="D15" s="53" t="s">
        <v>19</v>
      </c>
      <c r="E15" s="66">
        <f t="shared" si="0"/>
        <v>15485821.199999798</v>
      </c>
      <c r="F15" s="51">
        <v>2459260.4699999653</v>
      </c>
      <c r="G15" s="51">
        <v>6304768.9399999185</v>
      </c>
      <c r="H15" s="51">
        <v>6721791.7899999144</v>
      </c>
      <c r="P15" s="52"/>
      <c r="Q15" s="52"/>
      <c r="R15" s="52" t="s">
        <v>19</v>
      </c>
      <c r="S15" s="100">
        <v>15485821.19999991</v>
      </c>
      <c r="T15" s="100">
        <f t="shared" si="1"/>
        <v>1.1175870895385742E-7</v>
      </c>
      <c r="U15" s="100">
        <v>1.1175870895385742E-7</v>
      </c>
    </row>
    <row r="16" spans="1:21" x14ac:dyDescent="0.2">
      <c r="A16" s="67" t="s">
        <v>58</v>
      </c>
      <c r="B16" s="131">
        <f>C6</f>
        <v>173711832.74000123</v>
      </c>
      <c r="C16" s="68">
        <f>B16/$B$6</f>
        <v>0.13089813763701752</v>
      </c>
      <c r="D16" s="53" t="s">
        <v>20</v>
      </c>
      <c r="E16" s="66">
        <f t="shared" si="0"/>
        <v>4543272.879999999</v>
      </c>
      <c r="F16" s="51">
        <f>817085.08-53607.0499999998</f>
        <v>763478.03000000014</v>
      </c>
      <c r="G16" s="51">
        <f>2710418.49-144659.630000001</f>
        <v>2565758.8599999994</v>
      </c>
      <c r="H16" s="51">
        <v>1214035.9899999998</v>
      </c>
      <c r="P16" s="52"/>
      <c r="Q16" s="52"/>
      <c r="R16" s="52" t="s">
        <v>20</v>
      </c>
      <c r="S16" s="100">
        <v>4543272.879999999</v>
      </c>
      <c r="T16" s="100">
        <f t="shared" si="1"/>
        <v>0</v>
      </c>
      <c r="U16" s="100">
        <v>-144659.63000000099</v>
      </c>
    </row>
    <row r="17" spans="1:21" x14ac:dyDescent="0.2">
      <c r="A17" s="53"/>
      <c r="B17" s="50"/>
      <c r="C17" s="53"/>
      <c r="D17" s="69" t="s">
        <v>59</v>
      </c>
      <c r="E17" s="66">
        <f t="shared" si="0"/>
        <v>28821658.50999999</v>
      </c>
      <c r="F17" s="51">
        <f>7467041.91999999-482448.149999987</f>
        <v>6984593.7700000023</v>
      </c>
      <c r="G17" s="51">
        <f>11959707.38+127672.980000019</f>
        <v>12087380.36000002</v>
      </c>
      <c r="H17" s="51">
        <v>9749684.3799999692</v>
      </c>
      <c r="P17" s="52"/>
      <c r="Q17" s="52"/>
      <c r="R17" s="52" t="s">
        <v>59</v>
      </c>
      <c r="S17" s="100">
        <v>28821658.509999979</v>
      </c>
      <c r="T17" s="100">
        <f t="shared" si="1"/>
        <v>0</v>
      </c>
      <c r="U17" s="100">
        <v>127672.980000019</v>
      </c>
    </row>
    <row r="18" spans="1:21" x14ac:dyDescent="0.2">
      <c r="B18" s="70"/>
      <c r="C18" s="53"/>
      <c r="D18" s="53" t="s">
        <v>22</v>
      </c>
      <c r="E18" s="66">
        <f t="shared" si="0"/>
        <v>8646446.870000001</v>
      </c>
      <c r="F18" s="51">
        <f>1831401.06-160712.99</f>
        <v>1670688.07</v>
      </c>
      <c r="G18" s="51">
        <f>1933177.85-4670.81999999843</f>
        <v>1928507.0300000017</v>
      </c>
      <c r="H18" s="51">
        <v>5047251.7699999996</v>
      </c>
      <c r="P18" s="52"/>
      <c r="Q18" s="52"/>
      <c r="R18" s="52" t="s">
        <v>22</v>
      </c>
      <c r="S18" s="100">
        <v>8646446.870000001</v>
      </c>
      <c r="T18" s="100">
        <f t="shared" si="1"/>
        <v>0</v>
      </c>
      <c r="U18" s="100">
        <v>-4670.8199999984299</v>
      </c>
    </row>
    <row r="19" spans="1:21" x14ac:dyDescent="0.2">
      <c r="A19" s="53"/>
      <c r="B19" s="50"/>
      <c r="C19" s="53"/>
      <c r="D19" s="53" t="s">
        <v>23</v>
      </c>
      <c r="E19" s="66">
        <f t="shared" si="0"/>
        <v>6835177.4699999997</v>
      </c>
      <c r="F19" s="51">
        <f>2565201.92-11227.7600000025</f>
        <v>2553974.1599999974</v>
      </c>
      <c r="G19" s="51">
        <f>2054985.04-314096.689999999</f>
        <v>1740888.350000001</v>
      </c>
      <c r="H19" s="51">
        <v>2540314.9600000018</v>
      </c>
      <c r="P19" s="52"/>
      <c r="Q19" s="52"/>
      <c r="R19" s="52" t="s">
        <v>23</v>
      </c>
      <c r="S19" s="100">
        <v>6835177.4700000016</v>
      </c>
      <c r="T19" s="100">
        <f t="shared" si="1"/>
        <v>0</v>
      </c>
      <c r="U19" s="100">
        <v>-314096.68999999901</v>
      </c>
    </row>
    <row r="20" spans="1:21" x14ac:dyDescent="0.2">
      <c r="A20" s="53"/>
      <c r="B20" s="50"/>
      <c r="C20" s="53"/>
      <c r="D20" s="53" t="s">
        <v>24</v>
      </c>
      <c r="E20" s="66">
        <f t="shared" si="0"/>
        <v>160407.55000000002</v>
      </c>
      <c r="F20" s="51">
        <v>6534.65</v>
      </c>
      <c r="G20" s="51">
        <v>38103.199999999997</v>
      </c>
      <c r="H20" s="51">
        <v>115769.70000000001</v>
      </c>
      <c r="P20" s="52"/>
      <c r="Q20" s="52"/>
      <c r="R20" s="52" t="s">
        <v>24</v>
      </c>
      <c r="S20" s="100">
        <v>160407.55000000002</v>
      </c>
      <c r="T20" s="100">
        <f t="shared" si="1"/>
        <v>0</v>
      </c>
      <c r="U20" s="100">
        <v>0</v>
      </c>
    </row>
    <row r="21" spans="1:21" x14ac:dyDescent="0.2">
      <c r="A21" s="53"/>
      <c r="B21" s="50"/>
      <c r="C21" s="53"/>
      <c r="D21" s="53" t="s">
        <v>31</v>
      </c>
      <c r="E21" s="66">
        <f t="shared" si="0"/>
        <v>0</v>
      </c>
      <c r="F21" s="51">
        <v>0</v>
      </c>
      <c r="G21" s="51">
        <v>0</v>
      </c>
      <c r="H21" s="51">
        <v>0</v>
      </c>
      <c r="P21" s="52"/>
      <c r="Q21" s="52"/>
      <c r="R21" s="52" t="s">
        <v>31</v>
      </c>
      <c r="S21" s="100">
        <v>0</v>
      </c>
      <c r="T21" s="100">
        <f t="shared" si="1"/>
        <v>0</v>
      </c>
      <c r="U21" s="100">
        <v>0</v>
      </c>
    </row>
    <row r="22" spans="1:21" x14ac:dyDescent="0.2">
      <c r="A22" s="53"/>
      <c r="B22" s="50"/>
      <c r="C22" s="53"/>
      <c r="D22" s="53" t="s">
        <v>33</v>
      </c>
      <c r="E22" s="66">
        <f t="shared" si="0"/>
        <v>0</v>
      </c>
      <c r="F22" s="51">
        <v>0</v>
      </c>
      <c r="G22" s="51">
        <v>0</v>
      </c>
      <c r="H22" s="51">
        <v>0</v>
      </c>
      <c r="P22" s="52"/>
      <c r="Q22" s="52"/>
      <c r="R22" s="52" t="s">
        <v>33</v>
      </c>
      <c r="S22" s="100">
        <v>0</v>
      </c>
      <c r="T22" s="100">
        <f t="shared" si="1"/>
        <v>0</v>
      </c>
      <c r="U22" s="100">
        <v>0</v>
      </c>
    </row>
    <row r="23" spans="1:21" x14ac:dyDescent="0.2">
      <c r="A23" s="53"/>
      <c r="B23" s="50"/>
      <c r="C23" s="53"/>
      <c r="D23" s="53" t="s">
        <v>26</v>
      </c>
      <c r="E23" s="66">
        <f t="shared" si="0"/>
        <v>0</v>
      </c>
      <c r="F23" s="51">
        <v>0</v>
      </c>
      <c r="G23" s="51">
        <v>0</v>
      </c>
      <c r="H23" s="51">
        <v>0</v>
      </c>
      <c r="P23" s="52"/>
      <c r="Q23" s="52"/>
      <c r="R23" s="52" t="s">
        <v>26</v>
      </c>
      <c r="S23" s="100">
        <v>0</v>
      </c>
      <c r="T23" s="100">
        <f t="shared" si="1"/>
        <v>0</v>
      </c>
      <c r="U23" s="100">
        <v>0</v>
      </c>
    </row>
    <row r="24" spans="1:21" ht="13.5" thickBot="1" x14ac:dyDescent="0.25">
      <c r="A24" s="53"/>
      <c r="B24" s="50"/>
      <c r="C24" s="53"/>
      <c r="D24" s="53" t="s">
        <v>25</v>
      </c>
      <c r="E24" s="66">
        <f t="shared" si="0"/>
        <v>0</v>
      </c>
      <c r="F24" s="51">
        <v>0</v>
      </c>
      <c r="G24" s="51">
        <v>0</v>
      </c>
      <c r="H24" s="51">
        <v>0</v>
      </c>
      <c r="P24" s="52"/>
      <c r="Q24" s="52"/>
      <c r="R24" s="52" t="s">
        <v>25</v>
      </c>
      <c r="S24" s="100">
        <v>0</v>
      </c>
      <c r="T24" s="100">
        <f t="shared" si="1"/>
        <v>0</v>
      </c>
      <c r="U24" s="100">
        <v>0</v>
      </c>
    </row>
    <row r="25" spans="1:21" ht="13.5" thickBot="1" x14ac:dyDescent="0.25">
      <c r="A25" s="53"/>
      <c r="B25" s="50"/>
      <c r="C25" s="53"/>
      <c r="D25" s="71" t="s">
        <v>60</v>
      </c>
      <c r="E25" s="72">
        <f>SUM(E9:E24)</f>
        <v>173711832.74000123</v>
      </c>
      <c r="F25" s="73">
        <f t="shared" ref="F25:Q25" si="2">SUM(F9:F24)</f>
        <v>26210013.069999952</v>
      </c>
      <c r="G25" s="73">
        <f t="shared" si="2"/>
        <v>41516274.959999844</v>
      </c>
      <c r="H25" s="73">
        <f t="shared" si="2"/>
        <v>105985544.71000144</v>
      </c>
      <c r="I25" s="73">
        <f t="shared" si="2"/>
        <v>0</v>
      </c>
      <c r="J25" s="73">
        <f t="shared" si="2"/>
        <v>0</v>
      </c>
      <c r="K25" s="73">
        <f t="shared" si="2"/>
        <v>0</v>
      </c>
      <c r="L25" s="73">
        <f t="shared" si="2"/>
        <v>0</v>
      </c>
      <c r="M25" s="73">
        <f t="shared" si="2"/>
        <v>0</v>
      </c>
      <c r="N25" s="73">
        <f t="shared" si="2"/>
        <v>0</v>
      </c>
      <c r="O25" s="73">
        <f t="shared" si="2"/>
        <v>0</v>
      </c>
      <c r="P25" s="73">
        <f t="shared" si="2"/>
        <v>0</v>
      </c>
      <c r="Q25" s="73">
        <f t="shared" si="2"/>
        <v>0</v>
      </c>
      <c r="S25" s="128">
        <v>0</v>
      </c>
      <c r="T25" s="128">
        <f t="shared" ref="T25:U25" si="3">SUM(T9:T24)</f>
        <v>1.1175870895385742E-7</v>
      </c>
      <c r="U25" s="146">
        <f t="shared" si="3"/>
        <v>-942124.12999985681</v>
      </c>
    </row>
    <row r="26" spans="1:21" x14ac:dyDescent="0.2">
      <c r="A26" s="53"/>
      <c r="B26" s="50"/>
      <c r="C26" s="53"/>
      <c r="D26" s="53"/>
      <c r="E26" s="53"/>
      <c r="F26" s="50"/>
      <c r="G26" s="50"/>
    </row>
    <row r="27" spans="1:21" ht="29.25" customHeight="1" x14ac:dyDescent="0.2">
      <c r="A27" s="11"/>
      <c r="B27" s="164" t="s">
        <v>82</v>
      </c>
      <c r="C27" s="164"/>
      <c r="D27" s="164"/>
      <c r="E27" s="164"/>
      <c r="F27" s="164"/>
      <c r="G27" s="74"/>
    </row>
    <row r="28" spans="1:21" x14ac:dyDescent="0.2">
      <c r="A28" s="53"/>
      <c r="B28" s="50"/>
      <c r="C28" s="53"/>
      <c r="D28" s="53"/>
      <c r="E28" s="133"/>
      <c r="F28" s="50"/>
      <c r="G28" s="50"/>
    </row>
    <row r="29" spans="1:21" ht="29.25" customHeight="1" x14ac:dyDescent="0.2">
      <c r="B29" s="164" t="str">
        <f>"GENERAL OPERATIONS" &amp; " YTD EXPENSES"&amp;CHAR(10)&amp;TEXT(C6,"$#,##0")</f>
        <v>GENERAL OPERATIONS YTD EXPENSES
$173,711,833</v>
      </c>
      <c r="C29" s="164"/>
      <c r="D29" s="164"/>
      <c r="E29" s="164"/>
      <c r="F29" s="164"/>
      <c r="G29" s="74"/>
      <c r="H29" s="132" t="s">
        <v>83</v>
      </c>
    </row>
    <row r="30" spans="1:21" x14ac:dyDescent="0.2">
      <c r="A30" s="53"/>
      <c r="B30" s="50"/>
      <c r="C30" s="53"/>
      <c r="D30" s="53"/>
      <c r="E30" s="53"/>
      <c r="F30" s="50"/>
      <c r="G30" s="50"/>
    </row>
    <row r="31" spans="1:21" x14ac:dyDescent="0.2">
      <c r="A31" s="53"/>
      <c r="B31" s="50">
        <v>1197491160.8699994</v>
      </c>
      <c r="C31" s="53">
        <v>1139032581.8400021</v>
      </c>
      <c r="D31" s="53"/>
      <c r="E31" s="53"/>
      <c r="F31" s="50"/>
      <c r="G31" s="50"/>
    </row>
    <row r="32" spans="1:21" x14ac:dyDescent="0.2">
      <c r="A32" s="53"/>
      <c r="B32" s="50"/>
      <c r="C32" s="53"/>
      <c r="D32" s="53"/>
      <c r="E32" s="50"/>
      <c r="F32" s="50"/>
      <c r="G32" s="50"/>
    </row>
    <row r="33" spans="1:21" x14ac:dyDescent="0.2">
      <c r="A33" s="75"/>
      <c r="B33" s="76"/>
      <c r="C33" s="75"/>
      <c r="D33" s="75"/>
      <c r="E33" s="75"/>
      <c r="F33" s="76"/>
      <c r="G33" s="76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8"/>
    </row>
    <row r="34" spans="1:21" x14ac:dyDescent="0.2">
      <c r="A34" s="53"/>
      <c r="B34" s="50"/>
      <c r="C34" s="53"/>
      <c r="D34" s="53"/>
      <c r="E34" s="53"/>
      <c r="F34" s="50"/>
      <c r="G34" s="50"/>
    </row>
    <row r="35" spans="1:21" x14ac:dyDescent="0.2">
      <c r="A35" s="53"/>
      <c r="B35" s="50"/>
      <c r="C35" s="53"/>
      <c r="D35" s="53"/>
      <c r="E35" s="53"/>
      <c r="F35" s="50"/>
      <c r="G35" s="50"/>
    </row>
    <row r="36" spans="1:21" ht="13.5" thickBot="1" x14ac:dyDescent="0.25">
      <c r="H36" s="52"/>
      <c r="I36" s="52"/>
      <c r="J36" s="52"/>
      <c r="K36" s="52"/>
      <c r="L36" s="52"/>
      <c r="M36" s="52"/>
      <c r="N36" s="52"/>
      <c r="O36" s="52"/>
      <c r="P36" s="52"/>
      <c r="Q36" s="52"/>
    </row>
    <row r="37" spans="1:21" ht="13.5" thickBot="1" x14ac:dyDescent="0.25">
      <c r="A37" s="165" t="s">
        <v>61</v>
      </c>
      <c r="B37" s="166"/>
      <c r="C37" s="166"/>
      <c r="D37" s="166"/>
      <c r="E37" s="166"/>
      <c r="F37" s="167"/>
      <c r="G37" s="53"/>
      <c r="H37" s="52"/>
      <c r="I37" s="52"/>
      <c r="J37" s="52"/>
      <c r="K37" s="52"/>
      <c r="L37" s="52"/>
      <c r="M37" s="52"/>
      <c r="N37" s="52"/>
      <c r="O37" s="52"/>
      <c r="P37" s="52"/>
      <c r="Q37" s="52"/>
    </row>
    <row r="38" spans="1:21" ht="13.5" thickBot="1" x14ac:dyDescent="0.25">
      <c r="B38" s="51"/>
      <c r="D38" s="53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</row>
    <row r="39" spans="1:21" ht="26.25" thickBot="1" x14ac:dyDescent="0.25">
      <c r="B39" s="79" t="s">
        <v>62</v>
      </c>
      <c r="C39" s="80" t="s">
        <v>63</v>
      </c>
      <c r="D39" s="81" t="s">
        <v>64</v>
      </c>
      <c r="E39" s="82" t="s">
        <v>45</v>
      </c>
      <c r="F39" s="83" t="s">
        <v>46</v>
      </c>
      <c r="G39" s="83" t="s">
        <v>47</v>
      </c>
      <c r="H39" s="83" t="s">
        <v>48</v>
      </c>
      <c r="I39" s="83" t="s">
        <v>49</v>
      </c>
      <c r="J39" s="83" t="s">
        <v>50</v>
      </c>
      <c r="K39" s="83" t="s">
        <v>51</v>
      </c>
      <c r="L39" s="83" t="s">
        <v>52</v>
      </c>
      <c r="M39" s="83" t="s">
        <v>53</v>
      </c>
      <c r="N39" s="83" t="s">
        <v>54</v>
      </c>
      <c r="O39" s="83" t="s">
        <v>55</v>
      </c>
      <c r="P39" s="84" t="s">
        <v>56</v>
      </c>
      <c r="Q39" s="52"/>
      <c r="R39" s="85"/>
      <c r="S39" s="134"/>
      <c r="T39" s="134"/>
    </row>
    <row r="40" spans="1:21" s="85" customFormat="1" x14ac:dyDescent="0.2">
      <c r="A40" s="85" t="s">
        <v>8</v>
      </c>
      <c r="B40" s="86">
        <v>800454885.07000005</v>
      </c>
      <c r="C40" s="87">
        <f>SUM(E40:P40)</f>
        <v>255971469.50999999</v>
      </c>
      <c r="D40" s="88">
        <f>C40/B40</f>
        <v>0.31978250652766671</v>
      </c>
      <c r="E40" s="135">
        <v>283416.8200000003</v>
      </c>
      <c r="F40" s="135">
        <v>23622403.879999999</v>
      </c>
      <c r="G40" s="135">
        <v>232065648.81</v>
      </c>
      <c r="H40" s="135"/>
      <c r="I40" s="135"/>
      <c r="J40" s="135"/>
      <c r="K40" s="135"/>
      <c r="L40" s="135"/>
      <c r="M40" s="135"/>
      <c r="N40" s="135"/>
      <c r="O40" s="135"/>
      <c r="P40" s="135"/>
      <c r="R40" s="142"/>
      <c r="S40" s="152">
        <v>255971469.50999999</v>
      </c>
      <c r="T40" s="134">
        <f>S40-C40</f>
        <v>0</v>
      </c>
      <c r="U40" s="147">
        <v>0</v>
      </c>
    </row>
    <row r="41" spans="1:21" s="85" customFormat="1" x14ac:dyDescent="0.2">
      <c r="A41" s="85" t="s">
        <v>9</v>
      </c>
      <c r="B41" s="89">
        <v>90000</v>
      </c>
      <c r="C41" s="90">
        <f>SUM(E41:P41)</f>
        <v>690633.12</v>
      </c>
      <c r="D41" s="91">
        <f>C41/B41</f>
        <v>7.6737013333333337</v>
      </c>
      <c r="E41" s="136">
        <v>186624.72</v>
      </c>
      <c r="F41" s="136">
        <v>225298.27</v>
      </c>
      <c r="G41" s="136">
        <v>278710.13</v>
      </c>
      <c r="H41" s="136"/>
      <c r="I41" s="136"/>
      <c r="J41" s="136"/>
      <c r="K41" s="136"/>
      <c r="L41" s="136"/>
      <c r="M41" s="136"/>
      <c r="N41" s="136"/>
      <c r="O41" s="136"/>
      <c r="P41" s="136"/>
      <c r="R41" s="142"/>
      <c r="S41" s="152">
        <v>690633.12</v>
      </c>
      <c r="T41" s="134">
        <f t="shared" ref="T41:T43" si="4">S41-C41</f>
        <v>0</v>
      </c>
      <c r="U41" s="147">
        <v>0</v>
      </c>
    </row>
    <row r="42" spans="1:21" s="85" customFormat="1" x14ac:dyDescent="0.2">
      <c r="A42" s="85" t="s">
        <v>10</v>
      </c>
      <c r="B42" s="89">
        <v>505285146.90999991</v>
      </c>
      <c r="C42" s="90">
        <f>SUM(E42:P42)</f>
        <v>59717721.270000011</v>
      </c>
      <c r="D42" s="91">
        <f>C42/B42</f>
        <v>0.11818617989306696</v>
      </c>
      <c r="E42" s="136">
        <v>5367835.4800000004</v>
      </c>
      <c r="F42" s="136">
        <f>5752262.79+40986.0000000074</f>
        <v>5793248.7900000075</v>
      </c>
      <c r="G42" s="136">
        <v>48556637</v>
      </c>
      <c r="H42" s="136"/>
      <c r="I42" s="136"/>
      <c r="J42" s="136"/>
      <c r="K42" s="136"/>
      <c r="L42" s="136"/>
      <c r="M42" s="136"/>
      <c r="N42" s="136"/>
      <c r="O42" s="136"/>
      <c r="P42" s="136"/>
      <c r="R42" s="142"/>
      <c r="S42" s="152">
        <v>59717721.270000003</v>
      </c>
      <c r="T42" s="134">
        <f t="shared" si="4"/>
        <v>0</v>
      </c>
      <c r="U42" s="147">
        <v>40986.000000007451</v>
      </c>
    </row>
    <row r="43" spans="1:21" s="85" customFormat="1" ht="13.5" thickBot="1" x14ac:dyDescent="0.25">
      <c r="A43" s="85" t="s">
        <v>11</v>
      </c>
      <c r="B43" s="92">
        <v>1448256</v>
      </c>
      <c r="C43" s="90">
        <f>SUM(E43:P43)</f>
        <v>9801</v>
      </c>
      <c r="D43" s="93">
        <f>C43/B43</f>
        <v>6.7674499535993636E-3</v>
      </c>
      <c r="E43" s="137">
        <v>0</v>
      </c>
      <c r="F43" s="137">
        <v>9801</v>
      </c>
      <c r="G43" s="137">
        <v>0</v>
      </c>
      <c r="H43" s="137"/>
      <c r="I43" s="137"/>
      <c r="J43" s="137"/>
      <c r="K43" s="137"/>
      <c r="L43" s="137"/>
      <c r="M43" s="137"/>
      <c r="N43" s="137"/>
      <c r="O43" s="137"/>
      <c r="P43" s="137"/>
      <c r="R43" s="143"/>
      <c r="S43" s="152">
        <v>9801</v>
      </c>
      <c r="T43" s="134">
        <f t="shared" si="4"/>
        <v>0</v>
      </c>
      <c r="U43" s="147">
        <v>0</v>
      </c>
    </row>
    <row r="44" spans="1:21" s="94" customFormat="1" ht="12.75" customHeight="1" thickBot="1" x14ac:dyDescent="0.25">
      <c r="B44" s="95">
        <f>SUM(B40:B43)</f>
        <v>1307278287.98</v>
      </c>
      <c r="C44" s="96">
        <f>SUM(C40:C43)</f>
        <v>316389624.89999998</v>
      </c>
      <c r="D44" s="97">
        <f>C44/B44</f>
        <v>0.24202163212615094</v>
      </c>
      <c r="E44" s="98">
        <f>SUM(E40:E43)</f>
        <v>5837877.0200000005</v>
      </c>
      <c r="F44" s="99">
        <f t="shared" ref="F44:P44" si="5">SUM(F40:F43)</f>
        <v>29650751.940000005</v>
      </c>
      <c r="G44" s="99">
        <f t="shared" si="5"/>
        <v>280900995.94</v>
      </c>
      <c r="H44" s="99">
        <f t="shared" si="5"/>
        <v>0</v>
      </c>
      <c r="I44" s="99">
        <f t="shared" si="5"/>
        <v>0</v>
      </c>
      <c r="J44" s="99">
        <f t="shared" si="5"/>
        <v>0</v>
      </c>
      <c r="K44" s="99">
        <f t="shared" si="5"/>
        <v>0</v>
      </c>
      <c r="L44" s="99">
        <f t="shared" si="5"/>
        <v>0</v>
      </c>
      <c r="M44" s="99">
        <f t="shared" si="5"/>
        <v>0</v>
      </c>
      <c r="N44" s="99">
        <f t="shared" si="5"/>
        <v>0</v>
      </c>
      <c r="O44" s="99">
        <f t="shared" si="5"/>
        <v>0</v>
      </c>
      <c r="P44" s="99">
        <f t="shared" si="5"/>
        <v>0</v>
      </c>
      <c r="Q44" s="52"/>
      <c r="R44" s="51"/>
      <c r="S44" s="100"/>
      <c r="T44" s="100"/>
      <c r="U44" s="148"/>
    </row>
    <row r="45" spans="1:21" ht="13.5" thickBot="1" x14ac:dyDescent="0.25">
      <c r="B45" s="51"/>
      <c r="C45" s="100"/>
      <c r="E45" s="51"/>
      <c r="L45" s="52"/>
      <c r="M45" s="52"/>
      <c r="N45" s="52"/>
      <c r="O45" s="52"/>
      <c r="P45" s="52"/>
      <c r="Q45" s="52"/>
    </row>
    <row r="46" spans="1:21" s="94" customFormat="1" ht="12.75" customHeight="1" x14ac:dyDescent="0.2">
      <c r="A46" s="101" t="s">
        <v>65</v>
      </c>
      <c r="B46" s="102">
        <f>+B40+B41+B43</f>
        <v>801993141.07000005</v>
      </c>
      <c r="C46" s="87">
        <f>+C40+C41+C43</f>
        <v>256671903.63</v>
      </c>
      <c r="D46" s="103">
        <f>C46/B46</f>
        <v>0.32004251718107524</v>
      </c>
      <c r="E46" s="104">
        <f>+E40+E41+E43</f>
        <v>470041.54000000027</v>
      </c>
      <c r="F46" s="104">
        <f t="shared" ref="F46:P46" si="6">+F40+F41+F43</f>
        <v>23857503.149999999</v>
      </c>
      <c r="G46" s="104">
        <f t="shared" si="6"/>
        <v>232344358.94</v>
      </c>
      <c r="H46" s="104">
        <f t="shared" si="6"/>
        <v>0</v>
      </c>
      <c r="I46" s="104">
        <f t="shared" si="6"/>
        <v>0</v>
      </c>
      <c r="J46" s="104">
        <f t="shared" si="6"/>
        <v>0</v>
      </c>
      <c r="K46" s="104">
        <f t="shared" si="6"/>
        <v>0</v>
      </c>
      <c r="L46" s="104">
        <f t="shared" si="6"/>
        <v>0</v>
      </c>
      <c r="M46" s="104">
        <f t="shared" si="6"/>
        <v>0</v>
      </c>
      <c r="N46" s="104">
        <f t="shared" si="6"/>
        <v>0</v>
      </c>
      <c r="O46" s="104">
        <f t="shared" si="6"/>
        <v>0</v>
      </c>
      <c r="P46" s="104">
        <f t="shared" si="6"/>
        <v>0</v>
      </c>
      <c r="Q46" s="52"/>
      <c r="R46" s="52"/>
      <c r="S46" s="100"/>
      <c r="T46" s="100"/>
      <c r="U46" s="148"/>
    </row>
    <row r="47" spans="1:21" s="94" customFormat="1" ht="12.75" customHeight="1" thickBot="1" x14ac:dyDescent="0.25">
      <c r="A47" s="101" t="s">
        <v>66</v>
      </c>
      <c r="B47" s="105">
        <f>B42</f>
        <v>505285146.90999991</v>
      </c>
      <c r="C47" s="106">
        <f>C71</f>
        <v>59717721.270000011</v>
      </c>
      <c r="D47" s="107">
        <f>C47/B47</f>
        <v>0.11818617989306696</v>
      </c>
      <c r="E47" s="108">
        <f>E42</f>
        <v>5367835.4800000004</v>
      </c>
      <c r="F47" s="108">
        <f t="shared" ref="F47:P47" si="7">F42</f>
        <v>5793248.7900000075</v>
      </c>
      <c r="G47" s="108">
        <f t="shared" si="7"/>
        <v>48556637</v>
      </c>
      <c r="H47" s="108">
        <f t="shared" si="7"/>
        <v>0</v>
      </c>
      <c r="I47" s="108">
        <f t="shared" si="7"/>
        <v>0</v>
      </c>
      <c r="J47" s="108">
        <f t="shared" si="7"/>
        <v>0</v>
      </c>
      <c r="K47" s="108">
        <f t="shared" si="7"/>
        <v>0</v>
      </c>
      <c r="L47" s="108">
        <f t="shared" si="7"/>
        <v>0</v>
      </c>
      <c r="M47" s="108">
        <f t="shared" si="7"/>
        <v>0</v>
      </c>
      <c r="N47" s="108">
        <f t="shared" si="7"/>
        <v>0</v>
      </c>
      <c r="O47" s="108">
        <f t="shared" si="7"/>
        <v>0</v>
      </c>
      <c r="P47" s="108">
        <f t="shared" si="7"/>
        <v>0</v>
      </c>
      <c r="Q47" s="52"/>
      <c r="R47" s="52"/>
      <c r="S47" s="100"/>
      <c r="T47" s="100"/>
      <c r="U47" s="148"/>
    </row>
    <row r="48" spans="1:21" s="94" customFormat="1" ht="12.75" customHeight="1" thickBot="1" x14ac:dyDescent="0.25">
      <c r="B48" s="95">
        <f>SUM(B46:B47)</f>
        <v>1307278287.98</v>
      </c>
      <c r="C48" s="109">
        <f>SUM(E48:P48)</f>
        <v>316389624.89999998</v>
      </c>
      <c r="D48" s="110">
        <f>C48/B48</f>
        <v>0.24202163212615094</v>
      </c>
      <c r="E48" s="111">
        <f>+E46+E47</f>
        <v>5837877.0200000005</v>
      </c>
      <c r="F48" s="112">
        <f t="shared" ref="F48:P48" si="8">+F46+F47</f>
        <v>29650751.940000005</v>
      </c>
      <c r="G48" s="112">
        <f t="shared" si="8"/>
        <v>280900995.94</v>
      </c>
      <c r="H48" s="112">
        <f t="shared" si="8"/>
        <v>0</v>
      </c>
      <c r="I48" s="112">
        <f t="shared" si="8"/>
        <v>0</v>
      </c>
      <c r="J48" s="112">
        <f t="shared" si="8"/>
        <v>0</v>
      </c>
      <c r="K48" s="112">
        <f t="shared" si="8"/>
        <v>0</v>
      </c>
      <c r="L48" s="112">
        <f t="shared" si="8"/>
        <v>0</v>
      </c>
      <c r="M48" s="112">
        <f t="shared" si="8"/>
        <v>0</v>
      </c>
      <c r="N48" s="112">
        <f t="shared" si="8"/>
        <v>0</v>
      </c>
      <c r="O48" s="112">
        <f t="shared" si="8"/>
        <v>0</v>
      </c>
      <c r="P48" s="113">
        <f t="shared" si="8"/>
        <v>0</v>
      </c>
      <c r="Q48" s="52"/>
      <c r="R48" s="52"/>
      <c r="S48" s="100"/>
      <c r="T48" s="100"/>
      <c r="U48" s="148"/>
    </row>
    <row r="49" spans="1:21" s="94" customFormat="1" ht="12.75" customHeight="1" thickBot="1" x14ac:dyDescent="0.25"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100"/>
      <c r="T49" s="100"/>
      <c r="U49" s="148"/>
    </row>
    <row r="50" spans="1:21" s="94" customFormat="1" ht="12.75" customHeight="1" thickBot="1" x14ac:dyDescent="0.25">
      <c r="C50" s="157" t="s">
        <v>67</v>
      </c>
      <c r="D50" s="158"/>
      <c r="E50" s="114" t="s">
        <v>45</v>
      </c>
      <c r="F50" s="115" t="s">
        <v>46</v>
      </c>
      <c r="G50" s="115" t="s">
        <v>47</v>
      </c>
      <c r="H50" s="115" t="s">
        <v>48</v>
      </c>
      <c r="I50" s="115" t="s">
        <v>49</v>
      </c>
      <c r="J50" s="115" t="s">
        <v>50</v>
      </c>
      <c r="K50" s="115" t="s">
        <v>51</v>
      </c>
      <c r="L50" s="115" t="s">
        <v>52</v>
      </c>
      <c r="M50" s="115" t="s">
        <v>53</v>
      </c>
      <c r="N50" s="115" t="s">
        <v>54</v>
      </c>
      <c r="O50" s="115" t="s">
        <v>55</v>
      </c>
      <c r="P50" s="55" t="s">
        <v>56</v>
      </c>
      <c r="Q50" s="52"/>
      <c r="R50" s="52"/>
      <c r="S50" s="100"/>
      <c r="T50" s="100"/>
      <c r="U50" s="148"/>
    </row>
    <row r="51" spans="1:21" s="94" customFormat="1" ht="12.75" customHeight="1" x14ac:dyDescent="0.2">
      <c r="C51" s="116" t="s">
        <v>65</v>
      </c>
      <c r="D51" s="52"/>
      <c r="E51" s="51">
        <f>E46</f>
        <v>470041.54000000027</v>
      </c>
      <c r="F51" s="51">
        <f>E51+F46</f>
        <v>24327544.689999998</v>
      </c>
      <c r="G51" s="51">
        <f t="shared" ref="G51:P52" si="9">F51+G46</f>
        <v>256671903.63</v>
      </c>
      <c r="H51" s="51">
        <f t="shared" si="9"/>
        <v>256671903.63</v>
      </c>
      <c r="I51" s="51">
        <f t="shared" si="9"/>
        <v>256671903.63</v>
      </c>
      <c r="J51" s="51">
        <f t="shared" si="9"/>
        <v>256671903.63</v>
      </c>
      <c r="K51" s="51">
        <f t="shared" si="9"/>
        <v>256671903.63</v>
      </c>
      <c r="L51" s="51">
        <f t="shared" si="9"/>
        <v>256671903.63</v>
      </c>
      <c r="M51" s="51">
        <f t="shared" si="9"/>
        <v>256671903.63</v>
      </c>
      <c r="N51" s="51">
        <f t="shared" si="9"/>
        <v>256671903.63</v>
      </c>
      <c r="O51" s="51">
        <f t="shared" si="9"/>
        <v>256671903.63</v>
      </c>
      <c r="P51" s="51">
        <f t="shared" si="9"/>
        <v>256671903.63</v>
      </c>
      <c r="Q51" s="52"/>
      <c r="R51" s="52"/>
      <c r="S51" s="100"/>
      <c r="T51" s="100"/>
      <c r="U51" s="148"/>
    </row>
    <row r="52" spans="1:21" s="94" customFormat="1" ht="12.75" customHeight="1" thickBot="1" x14ac:dyDescent="0.25">
      <c r="C52" s="116" t="s">
        <v>66</v>
      </c>
      <c r="D52" s="52"/>
      <c r="E52" s="51">
        <f>E47</f>
        <v>5367835.4800000004</v>
      </c>
      <c r="F52" s="51">
        <f>E52+F47</f>
        <v>11161084.270000007</v>
      </c>
      <c r="G52" s="51">
        <f t="shared" si="9"/>
        <v>59717721.270000011</v>
      </c>
      <c r="H52" s="51">
        <f t="shared" si="9"/>
        <v>59717721.270000011</v>
      </c>
      <c r="I52" s="51">
        <f t="shared" si="9"/>
        <v>59717721.270000011</v>
      </c>
      <c r="J52" s="51">
        <f t="shared" si="9"/>
        <v>59717721.270000011</v>
      </c>
      <c r="K52" s="51">
        <f t="shared" si="9"/>
        <v>59717721.270000011</v>
      </c>
      <c r="L52" s="51">
        <f t="shared" si="9"/>
        <v>59717721.270000011</v>
      </c>
      <c r="M52" s="51">
        <f t="shared" si="9"/>
        <v>59717721.270000011</v>
      </c>
      <c r="N52" s="51">
        <f t="shared" si="9"/>
        <v>59717721.270000011</v>
      </c>
      <c r="O52" s="51">
        <f t="shared" si="9"/>
        <v>59717721.270000011</v>
      </c>
      <c r="P52" s="51">
        <f t="shared" si="9"/>
        <v>59717721.270000011</v>
      </c>
      <c r="Q52" s="52"/>
      <c r="R52" s="52"/>
      <c r="S52" s="100"/>
      <c r="T52" s="100"/>
      <c r="U52" s="148"/>
    </row>
    <row r="53" spans="1:21" s="94" customFormat="1" ht="12.75" customHeight="1" thickBot="1" x14ac:dyDescent="0.25">
      <c r="C53" s="117" t="s">
        <v>68</v>
      </c>
      <c r="D53" s="52"/>
      <c r="E53" s="118">
        <f>+E51+E52</f>
        <v>5837877.0200000005</v>
      </c>
      <c r="F53" s="118">
        <f t="shared" ref="F53:P53" si="10">+F51+F52</f>
        <v>35488628.960000008</v>
      </c>
      <c r="G53" s="118">
        <f t="shared" si="10"/>
        <v>316389624.89999998</v>
      </c>
      <c r="H53" s="118">
        <f t="shared" si="10"/>
        <v>316389624.89999998</v>
      </c>
      <c r="I53" s="118">
        <f t="shared" si="10"/>
        <v>316389624.89999998</v>
      </c>
      <c r="J53" s="118">
        <f t="shared" si="10"/>
        <v>316389624.89999998</v>
      </c>
      <c r="K53" s="118">
        <f t="shared" si="10"/>
        <v>316389624.89999998</v>
      </c>
      <c r="L53" s="118">
        <f t="shared" si="10"/>
        <v>316389624.89999998</v>
      </c>
      <c r="M53" s="118">
        <f t="shared" si="10"/>
        <v>316389624.89999998</v>
      </c>
      <c r="N53" s="118">
        <f t="shared" si="10"/>
        <v>316389624.89999998</v>
      </c>
      <c r="O53" s="118">
        <f t="shared" si="10"/>
        <v>316389624.89999998</v>
      </c>
      <c r="P53" s="118">
        <f t="shared" si="10"/>
        <v>316389624.89999998</v>
      </c>
      <c r="Q53" s="52"/>
      <c r="R53" s="52"/>
      <c r="S53" s="100"/>
      <c r="T53" s="100"/>
      <c r="U53" s="148"/>
    </row>
    <row r="54" spans="1:21" s="94" customFormat="1" ht="12.75" customHeight="1" x14ac:dyDescent="0.2">
      <c r="C54" s="119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100"/>
      <c r="T54" s="100"/>
      <c r="U54" s="148"/>
    </row>
    <row r="55" spans="1:21" ht="38.25" x14ac:dyDescent="0.2">
      <c r="A55" s="100"/>
      <c r="B55" s="149" t="str">
        <f>"(LOCAL &amp; OTHER)" &amp; "  " &amp; "Budgeted: " &amp; TEXT(B46,"$#,##0")  &amp; "  " &amp; "Actual: " &amp; TEXT(C46,"$#,##0") &amp; "  " &amp; TEXT(D46,"###.00%") &amp; CHAR(10) &amp; "(STATE)" &amp; "  " &amp; "Budgeted: " &amp; TEXT(B47,"$#,##0") &amp; "  " &amp; "Actual: " &amp; TEXT(C47,"$#,##0") &amp; "   " &amp; TEXT(D47,"###.00%") &amp; CHAR(10) &amp; "TOTAL Budgeted: " &amp; TEXT(B48,"$#,##0") &amp; "  " &amp; "Actual: " &amp; TEXT(C48,"$#,##0") &amp; "   " &amp; TEXT(D48,"###.00%")</f>
        <v>(LOCAL &amp; OTHER)  Budgeted: $801,993,141  Actual: $256,671,904  32.00%
(STATE)  Budgeted: $505,285,147  Actual: $59,717,721   11.82%
TOTAL Budgeted: $1,307,278,288  Actual: $316,389,625   24.20%</v>
      </c>
      <c r="C55" s="149"/>
      <c r="D55" s="149"/>
      <c r="E55" s="149"/>
      <c r="F55" s="149"/>
      <c r="G55" s="149"/>
      <c r="H55" s="149"/>
      <c r="I55" s="149"/>
      <c r="J55" s="149"/>
      <c r="K55" s="149"/>
      <c r="Q55" s="52"/>
      <c r="R55" s="150" t="s">
        <v>84</v>
      </c>
      <c r="T55" s="144"/>
      <c r="U55" s="144"/>
    </row>
    <row r="56" spans="1:21" x14ac:dyDescent="0.2">
      <c r="B56" s="156" t="str">
        <f>"(STATE)" &amp; CHAR(9) &amp; "Budgeted: " &amp; TEXT(B47,"$#,##0") &amp; CHAR(9) &amp; "Actual: " &amp; TEXT(C47,"$#,##0") &amp; "   " &amp; TEXT(D47,"###.00%")</f>
        <v>(STATE)	Budgeted: $505,285,147	Actual: $59,717,721   11.82%</v>
      </c>
      <c r="C56" s="156"/>
      <c r="D56" s="156"/>
      <c r="E56" s="156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132"/>
    </row>
    <row r="57" spans="1:21" x14ac:dyDescent="0.2">
      <c r="B57" s="156" t="str">
        <f>"TOTAL Budgeted: " &amp; TEXT(B48,"$#,##0") &amp; CHAR(9) &amp; "Actual: " &amp; TEXT(C48,"$#,##0") &amp; "   " &amp; TEXT(D48,"###.00%")</f>
        <v>TOTAL Budgeted: $1,307,278,288	Actual: $316,389,625   24.20%</v>
      </c>
      <c r="C57" s="156"/>
      <c r="D57" s="156"/>
      <c r="E57" s="156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1"/>
    </row>
    <row r="58" spans="1:21" x14ac:dyDescent="0.2">
      <c r="B58" s="120"/>
      <c r="C58" s="121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1"/>
    </row>
    <row r="59" spans="1:21" ht="13.5" thickBot="1" x14ac:dyDescent="0.25">
      <c r="B59" s="51"/>
      <c r="C59" s="100"/>
      <c r="E59" s="51"/>
      <c r="L59" s="52"/>
      <c r="M59" s="52"/>
      <c r="N59" s="52"/>
      <c r="O59" s="52"/>
      <c r="P59" s="52"/>
      <c r="Q59" s="52"/>
    </row>
    <row r="60" spans="1:21" s="100" customFormat="1" ht="26.25" thickBot="1" x14ac:dyDescent="0.25">
      <c r="A60" s="122" t="s">
        <v>36</v>
      </c>
      <c r="B60" s="123" t="s">
        <v>37</v>
      </c>
      <c r="P60" s="52"/>
      <c r="Q60" s="52"/>
      <c r="R60" s="52"/>
      <c r="U60" s="145"/>
    </row>
    <row r="61" spans="1:21" s="100" customFormat="1" x14ac:dyDescent="0.2">
      <c r="A61" s="124" t="s">
        <v>8</v>
      </c>
      <c r="B61" s="125">
        <v>800385570.48000002</v>
      </c>
      <c r="C61" s="51"/>
      <c r="N61" s="126"/>
      <c r="O61" s="52"/>
      <c r="P61" s="52"/>
      <c r="Q61" s="52"/>
      <c r="R61" s="52"/>
      <c r="U61" s="145"/>
    </row>
    <row r="62" spans="1:21" x14ac:dyDescent="0.2">
      <c r="A62" s="124" t="s">
        <v>9</v>
      </c>
      <c r="B62" s="125">
        <v>90000</v>
      </c>
      <c r="C62" s="51"/>
      <c r="E62" s="51"/>
      <c r="G62" s="100"/>
      <c r="I62" s="100"/>
      <c r="J62" s="100"/>
      <c r="K62" s="100"/>
      <c r="L62" s="100"/>
      <c r="M62" s="52"/>
      <c r="N62" s="126"/>
      <c r="O62" s="127"/>
      <c r="P62" s="52"/>
      <c r="Q62" s="52"/>
    </row>
    <row r="63" spans="1:21" x14ac:dyDescent="0.2">
      <c r="A63" s="124" t="s">
        <v>10</v>
      </c>
      <c r="B63" s="125">
        <v>504864477.65999997</v>
      </c>
      <c r="C63" s="51"/>
      <c r="E63" s="51"/>
      <c r="G63" s="100"/>
      <c r="I63" s="100"/>
      <c r="J63" s="100"/>
      <c r="K63" s="100"/>
      <c r="L63" s="100"/>
      <c r="M63" s="52"/>
      <c r="N63" s="126"/>
      <c r="O63" s="127"/>
      <c r="P63" s="52"/>
      <c r="Q63" s="52"/>
    </row>
    <row r="64" spans="1:21" ht="13.5" thickBot="1" x14ac:dyDescent="0.25">
      <c r="A64" s="124" t="s">
        <v>11</v>
      </c>
      <c r="B64" s="125">
        <v>1448256</v>
      </c>
      <c r="C64" s="51"/>
      <c r="E64" s="51"/>
      <c r="G64" s="100"/>
      <c r="I64" s="100"/>
      <c r="J64" s="100"/>
      <c r="K64" s="100"/>
      <c r="L64" s="100"/>
      <c r="M64" s="52"/>
      <c r="N64" s="126"/>
      <c r="O64" s="127"/>
      <c r="P64" s="52"/>
      <c r="Q64" s="52"/>
    </row>
    <row r="65" spans="1:20" ht="13.5" thickBot="1" x14ac:dyDescent="0.25">
      <c r="A65" s="128" t="s">
        <v>69</v>
      </c>
      <c r="B65" s="129">
        <f>SUM(B61:B64)</f>
        <v>1306788304.1399999</v>
      </c>
      <c r="C65" s="100"/>
      <c r="D65" s="100"/>
      <c r="E65" s="51"/>
      <c r="G65" s="100"/>
      <c r="H65" s="51" t="str">
        <f xml:space="preserve"> CHAR(9)</f>
        <v xml:space="preserve">	</v>
      </c>
      <c r="I65" s="100"/>
      <c r="J65" s="100"/>
      <c r="K65" s="100"/>
      <c r="L65" s="100"/>
      <c r="M65" s="100"/>
      <c r="N65" s="52"/>
      <c r="O65" s="126"/>
      <c r="P65" s="127"/>
      <c r="Q65" s="52"/>
    </row>
    <row r="66" spans="1:20" x14ac:dyDescent="0.2">
      <c r="C66" s="100"/>
      <c r="D66" s="100"/>
      <c r="E66" s="51"/>
      <c r="G66" s="100"/>
      <c r="I66" s="100"/>
      <c r="J66" s="100"/>
      <c r="K66" s="100"/>
      <c r="L66" s="100"/>
      <c r="M66" s="52"/>
      <c r="N66" s="126"/>
      <c r="O66" s="127"/>
      <c r="P66" s="52"/>
      <c r="Q66" s="52"/>
    </row>
    <row r="67" spans="1:20" ht="13.5" thickBot="1" x14ac:dyDescent="0.25">
      <c r="C67" s="51"/>
      <c r="D67" s="100"/>
      <c r="E67" s="51"/>
      <c r="I67" s="100"/>
      <c r="J67" s="100"/>
      <c r="K67" s="100"/>
      <c r="L67" s="100"/>
      <c r="M67" s="100"/>
      <c r="N67" s="52"/>
      <c r="O67" s="126"/>
      <c r="P67" s="127"/>
      <c r="Q67" s="52"/>
    </row>
    <row r="68" spans="1:20" ht="26.25" thickBot="1" x14ac:dyDescent="0.25">
      <c r="B68" s="117" t="s">
        <v>71</v>
      </c>
      <c r="C68" s="130" t="s">
        <v>70</v>
      </c>
      <c r="D68" s="100"/>
      <c r="E68" s="51"/>
      <c r="G68" s="100"/>
      <c r="H68" s="100"/>
      <c r="I68" s="100"/>
      <c r="J68" s="100"/>
      <c r="K68" s="100"/>
      <c r="L68" s="100"/>
      <c r="M68" s="52"/>
      <c r="N68" s="126"/>
      <c r="O68" s="127"/>
      <c r="P68" s="52"/>
      <c r="Q68" s="52"/>
    </row>
    <row r="69" spans="1:20" x14ac:dyDescent="0.2">
      <c r="A69" s="100" t="s">
        <v>8</v>
      </c>
      <c r="B69" s="51">
        <v>800454885.07000005</v>
      </c>
      <c r="C69" s="51">
        <v>255971469.50999999</v>
      </c>
      <c r="D69" s="100"/>
      <c r="E69" s="51"/>
      <c r="G69" s="100"/>
      <c r="H69" s="100"/>
      <c r="I69" s="100"/>
      <c r="J69" s="100"/>
      <c r="K69" s="100"/>
      <c r="L69" s="100"/>
      <c r="M69" s="52"/>
      <c r="N69" s="126"/>
      <c r="O69" s="127"/>
      <c r="P69" s="52"/>
      <c r="Q69" s="52"/>
    </row>
    <row r="70" spans="1:20" x14ac:dyDescent="0.2">
      <c r="A70" s="100" t="s">
        <v>9</v>
      </c>
      <c r="B70" s="51">
        <v>90000</v>
      </c>
      <c r="C70" s="51">
        <v>690633.12</v>
      </c>
      <c r="D70" s="100"/>
      <c r="E70" s="51"/>
      <c r="G70" s="100"/>
      <c r="H70" s="100"/>
      <c r="I70" s="100"/>
      <c r="J70" s="100"/>
      <c r="K70" s="100"/>
      <c r="L70" s="100"/>
      <c r="M70" s="52"/>
      <c r="N70" s="126"/>
      <c r="O70" s="127"/>
      <c r="P70" s="52"/>
      <c r="Q70" s="52"/>
    </row>
    <row r="71" spans="1:20" x14ac:dyDescent="0.2">
      <c r="A71" s="100" t="s">
        <v>10</v>
      </c>
      <c r="B71" s="51">
        <v>505285146.90999991</v>
      </c>
      <c r="C71" s="51">
        <v>59717721.270000011</v>
      </c>
      <c r="D71" s="100"/>
      <c r="E71" s="51"/>
      <c r="G71" s="100"/>
      <c r="H71" s="100"/>
      <c r="I71" s="100"/>
      <c r="J71" s="100"/>
      <c r="K71" s="100"/>
      <c r="L71" s="100"/>
      <c r="M71" s="52"/>
      <c r="N71" s="126"/>
      <c r="O71" s="127"/>
      <c r="P71" s="52"/>
      <c r="Q71" s="52"/>
    </row>
    <row r="72" spans="1:20" x14ac:dyDescent="0.2">
      <c r="A72" s="100" t="s">
        <v>11</v>
      </c>
      <c r="B72" s="51">
        <v>1448256</v>
      </c>
      <c r="C72" s="51">
        <v>9801</v>
      </c>
      <c r="D72" s="100"/>
      <c r="E72" s="51"/>
      <c r="H72" s="100"/>
      <c r="I72" s="100"/>
      <c r="J72" s="100"/>
      <c r="K72" s="100"/>
      <c r="L72" s="100"/>
      <c r="M72" s="52"/>
      <c r="N72" s="126"/>
      <c r="O72" s="127"/>
      <c r="P72" s="52"/>
      <c r="Q72" s="52"/>
    </row>
    <row r="73" spans="1:20" x14ac:dyDescent="0.2">
      <c r="B73" s="51"/>
      <c r="E73" s="51"/>
      <c r="H73" s="100"/>
      <c r="I73" s="100"/>
      <c r="J73" s="100"/>
      <c r="K73" s="100"/>
      <c r="L73" s="100"/>
      <c r="M73" s="52"/>
      <c r="N73" s="126"/>
      <c r="O73" s="127"/>
      <c r="P73" s="52"/>
      <c r="Q73" s="52"/>
    </row>
    <row r="74" spans="1:20" x14ac:dyDescent="0.2">
      <c r="B74" s="51"/>
      <c r="E74" s="51"/>
      <c r="P74" s="52"/>
      <c r="Q74" s="52"/>
    </row>
    <row r="75" spans="1:20" x14ac:dyDescent="0.2">
      <c r="B75" s="51"/>
      <c r="E75" s="51"/>
      <c r="P75" s="52"/>
      <c r="Q75" s="52"/>
    </row>
    <row r="76" spans="1:20" ht="12.75" customHeight="1" x14ac:dyDescent="0.2">
      <c r="C76" s="132"/>
      <c r="D76" s="13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S76" s="52"/>
      <c r="T76" s="52"/>
    </row>
    <row r="77" spans="1:20" x14ac:dyDescent="0.2">
      <c r="E77" s="51"/>
      <c r="P77" s="52"/>
      <c r="Q77" s="52"/>
    </row>
    <row r="78" spans="1:20" x14ac:dyDescent="0.2">
      <c r="E78" s="51"/>
      <c r="P78" s="52"/>
      <c r="Q78" s="52"/>
    </row>
    <row r="79" spans="1:20" x14ac:dyDescent="0.2">
      <c r="B79" s="51"/>
      <c r="E79" s="51"/>
      <c r="P79" s="52"/>
      <c r="Q79" s="52"/>
    </row>
    <row r="80" spans="1:20" x14ac:dyDescent="0.2">
      <c r="B80" s="51"/>
      <c r="E80" s="51"/>
      <c r="P80" s="52"/>
      <c r="Q80" s="52"/>
    </row>
    <row r="81" spans="5:17" x14ac:dyDescent="0.2">
      <c r="E81" s="51"/>
      <c r="P81" s="52"/>
      <c r="Q81" s="52"/>
    </row>
    <row r="82" spans="5:17" x14ac:dyDescent="0.2">
      <c r="E82" s="51"/>
      <c r="P82" s="52"/>
      <c r="Q82" s="52"/>
    </row>
    <row r="83" spans="5:17" x14ac:dyDescent="0.2">
      <c r="E83" s="51"/>
      <c r="P83" s="52"/>
      <c r="Q83" s="52"/>
    </row>
    <row r="84" spans="5:17" x14ac:dyDescent="0.2">
      <c r="E84" s="51"/>
      <c r="P84" s="52"/>
      <c r="Q84" s="52"/>
    </row>
    <row r="85" spans="5:17" x14ac:dyDescent="0.2">
      <c r="E85" s="51"/>
      <c r="Q85" s="52"/>
    </row>
    <row r="86" spans="5:17" x14ac:dyDescent="0.2">
      <c r="E86" s="51"/>
      <c r="Q86" s="52"/>
    </row>
    <row r="87" spans="5:17" x14ac:dyDescent="0.2">
      <c r="E87" s="51"/>
      <c r="Q87" s="52"/>
    </row>
    <row r="88" spans="5:17" x14ac:dyDescent="0.2">
      <c r="E88" s="51"/>
      <c r="Q88" s="52"/>
    </row>
    <row r="89" spans="5:17" x14ac:dyDescent="0.2">
      <c r="E89" s="51"/>
      <c r="Q89" s="52"/>
    </row>
    <row r="90" spans="5:17" x14ac:dyDescent="0.2">
      <c r="E90" s="51"/>
      <c r="Q90" s="52"/>
    </row>
    <row r="91" spans="5:17" x14ac:dyDescent="0.2">
      <c r="E91" s="51"/>
      <c r="Q91" s="52"/>
    </row>
    <row r="92" spans="5:17" x14ac:dyDescent="0.2">
      <c r="E92" s="51"/>
      <c r="Q92" s="52"/>
    </row>
    <row r="93" spans="5:17" x14ac:dyDescent="0.2">
      <c r="E93" s="51"/>
      <c r="Q93" s="52"/>
    </row>
    <row r="94" spans="5:17" x14ac:dyDescent="0.2">
      <c r="E94" s="51"/>
      <c r="Q94" s="52"/>
    </row>
    <row r="95" spans="5:17" x14ac:dyDescent="0.2">
      <c r="E95" s="51"/>
      <c r="Q95" s="52"/>
    </row>
    <row r="96" spans="5:17" x14ac:dyDescent="0.2">
      <c r="E96" s="51"/>
      <c r="Q96" s="52"/>
    </row>
  </sheetData>
  <mergeCells count="8">
    <mergeCell ref="B56:E56"/>
    <mergeCell ref="B57:E57"/>
    <mergeCell ref="C50:D50"/>
    <mergeCell ref="A1:G1"/>
    <mergeCell ref="A3:G3"/>
    <mergeCell ref="B27:F27"/>
    <mergeCell ref="B29:F29"/>
    <mergeCell ref="A37:F37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5"/>
  <sheetViews>
    <sheetView workbookViewId="0">
      <selection activeCell="E34" sqref="E34"/>
    </sheetView>
  </sheetViews>
  <sheetFormatPr defaultRowHeight="15" x14ac:dyDescent="0.25"/>
  <cols>
    <col min="1" max="1" width="51.7109375" style="1" customWidth="1"/>
    <col min="2" max="3" width="15.140625" style="31" bestFit="1" customWidth="1"/>
    <col min="4" max="4" width="13.42578125" style="31" bestFit="1" customWidth="1"/>
    <col min="5" max="5" width="14.28515625" style="31" bestFit="1" customWidth="1"/>
    <col min="6" max="6" width="16.85546875" style="31" customWidth="1"/>
    <col min="7" max="7" width="14.28515625" style="31" bestFit="1" customWidth="1"/>
    <col min="8" max="8" width="13.5703125" style="31" bestFit="1" customWidth="1"/>
    <col min="9" max="9" width="13.5703125" style="1" customWidth="1"/>
    <col min="10" max="10" width="2.42578125" style="1" customWidth="1"/>
    <col min="11" max="11" width="52.28515625" style="1" bestFit="1" customWidth="1"/>
    <col min="12" max="13" width="14.5703125" style="138" bestFit="1" customWidth="1"/>
    <col min="14" max="15" width="14.140625" style="138" customWidth="1"/>
    <col min="16" max="16" width="13.7109375" style="138" customWidth="1"/>
    <col min="17" max="16384" width="9.140625" style="1"/>
  </cols>
  <sheetData>
    <row r="1" spans="1:16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6" ht="18.75" x14ac:dyDescent="0.3">
      <c r="A2" s="154" t="s">
        <v>73</v>
      </c>
      <c r="B2" s="154"/>
      <c r="C2" s="154"/>
      <c r="D2" s="154"/>
      <c r="E2" s="154"/>
      <c r="F2" s="154"/>
      <c r="G2" s="154"/>
      <c r="H2" s="154"/>
      <c r="I2" s="154"/>
    </row>
    <row r="3" spans="1:16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</row>
    <row r="4" spans="1:16" x14ac:dyDescent="0.25">
      <c r="A4" s="155" t="s">
        <v>81</v>
      </c>
      <c r="B4" s="155"/>
      <c r="C4" s="155"/>
      <c r="D4" s="155"/>
      <c r="E4" s="155"/>
      <c r="F4" s="155"/>
      <c r="G4" s="155"/>
      <c r="H4" s="155"/>
      <c r="I4" s="155"/>
    </row>
    <row r="5" spans="1:16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</row>
    <row r="6" spans="1:16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</row>
    <row r="7" spans="1:16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4" t="s">
        <v>35</v>
      </c>
      <c r="L7" s="139"/>
      <c r="M7" s="139"/>
      <c r="N7" s="139"/>
      <c r="O7" s="139"/>
      <c r="P7" s="139"/>
    </row>
    <row r="8" spans="1:16" s="5" customFormat="1" x14ac:dyDescent="0.2">
      <c r="A8" s="6" t="s">
        <v>8</v>
      </c>
      <c r="B8" s="7">
        <v>11276496.359999999</v>
      </c>
      <c r="C8" s="7">
        <v>11639309.359999999</v>
      </c>
      <c r="D8" s="7">
        <v>2644119.25</v>
      </c>
      <c r="E8" s="7">
        <v>6784759.8399999999</v>
      </c>
      <c r="F8" s="7">
        <v>0</v>
      </c>
      <c r="G8" s="7">
        <f t="shared" ref="G8:G12" si="0">SUM(E8:F8)</f>
        <v>6784759.8399999999</v>
      </c>
      <c r="H8" s="7">
        <f t="shared" ref="H8:H12" si="1">C8-G8</f>
        <v>4854549.5199999996</v>
      </c>
      <c r="I8" s="17">
        <f>IF(C8=0,"",H8/C8)</f>
        <v>0.41708226578144664</v>
      </c>
      <c r="L8" s="139"/>
      <c r="M8" s="139"/>
      <c r="N8" s="139"/>
      <c r="O8" s="139"/>
      <c r="P8" s="139"/>
    </row>
    <row r="9" spans="1:16" s="5" customFormat="1" x14ac:dyDescent="0.2">
      <c r="A9" s="6" t="s">
        <v>9</v>
      </c>
      <c r="B9" s="7">
        <v>58421.71</v>
      </c>
      <c r="C9" s="7">
        <v>58421.71</v>
      </c>
      <c r="D9" s="7">
        <v>554.48</v>
      </c>
      <c r="E9" s="7">
        <v>1444.14</v>
      </c>
      <c r="F9" s="7">
        <v>0</v>
      </c>
      <c r="G9" s="7">
        <f t="shared" si="0"/>
        <v>1444.14</v>
      </c>
      <c r="H9" s="7">
        <f t="shared" si="1"/>
        <v>56977.57</v>
      </c>
      <c r="I9" s="17">
        <f t="shared" ref="I9:I12" si="2">IF(C9=0,"",H9/C9)</f>
        <v>0.97528076463355828</v>
      </c>
      <c r="L9" s="139"/>
      <c r="M9" s="139"/>
      <c r="N9" s="139"/>
      <c r="O9" s="139"/>
      <c r="P9" s="139"/>
    </row>
    <row r="10" spans="1:16" s="5" customFormat="1" x14ac:dyDescent="0.2">
      <c r="A10" s="6" t="s">
        <v>10</v>
      </c>
      <c r="B10" s="7">
        <v>38574052.850000001</v>
      </c>
      <c r="C10" s="7">
        <v>38574052.850000001</v>
      </c>
      <c r="D10" s="7">
        <v>1243628.48</v>
      </c>
      <c r="E10" s="7">
        <v>2765655.69</v>
      </c>
      <c r="F10" s="7">
        <v>0</v>
      </c>
      <c r="G10" s="7">
        <f t="shared" si="0"/>
        <v>2765655.69</v>
      </c>
      <c r="H10" s="7">
        <f t="shared" si="1"/>
        <v>35808397.160000004</v>
      </c>
      <c r="I10" s="17">
        <f t="shared" si="2"/>
        <v>0.92830269350346484</v>
      </c>
      <c r="L10" s="139"/>
      <c r="M10" s="139"/>
      <c r="N10" s="139"/>
      <c r="O10" s="139"/>
      <c r="P10" s="139"/>
    </row>
    <row r="11" spans="1:16" s="5" customFormat="1" x14ac:dyDescent="0.2">
      <c r="A11" s="6" t="s">
        <v>30</v>
      </c>
      <c r="B11" s="7">
        <v>540411756.07000005</v>
      </c>
      <c r="C11" s="7">
        <v>689380424.14999962</v>
      </c>
      <c r="D11" s="7">
        <v>47514927.899999991</v>
      </c>
      <c r="E11" s="7">
        <v>62118470.869999975</v>
      </c>
      <c r="F11" s="7">
        <v>0</v>
      </c>
      <c r="G11" s="7">
        <f t="shared" si="0"/>
        <v>62118470.869999975</v>
      </c>
      <c r="H11" s="7">
        <f t="shared" si="1"/>
        <v>627261953.27999961</v>
      </c>
      <c r="I11" s="17">
        <f t="shared" si="2"/>
        <v>0.90989231969185724</v>
      </c>
      <c r="L11" s="139"/>
      <c r="M11" s="139"/>
      <c r="N11" s="139"/>
      <c r="O11" s="139"/>
      <c r="P11" s="139"/>
    </row>
    <row r="12" spans="1:16" s="5" customFormat="1" x14ac:dyDescent="0.2">
      <c r="A12" s="8" t="s">
        <v>11</v>
      </c>
      <c r="B12" s="7">
        <v>4134282.8800000004</v>
      </c>
      <c r="C12" s="7">
        <v>4134282.8800000004</v>
      </c>
      <c r="D12" s="7">
        <v>27827.79</v>
      </c>
      <c r="E12" s="7">
        <v>34014</v>
      </c>
      <c r="F12" s="7">
        <v>0</v>
      </c>
      <c r="G12" s="7">
        <f t="shared" si="0"/>
        <v>34014</v>
      </c>
      <c r="H12" s="7">
        <f t="shared" si="1"/>
        <v>4100268.8800000004</v>
      </c>
      <c r="I12" s="17">
        <f t="shared" si="2"/>
        <v>0.99177269650208355</v>
      </c>
      <c r="L12" s="139"/>
      <c r="M12" s="139"/>
      <c r="N12" s="139"/>
      <c r="O12" s="139"/>
      <c r="P12" s="139"/>
    </row>
    <row r="13" spans="1:16" s="5" customFormat="1" ht="24.95" customHeight="1" x14ac:dyDescent="0.2">
      <c r="A13" s="10" t="s">
        <v>12</v>
      </c>
      <c r="B13" s="11">
        <f>SUM(B8:B12)</f>
        <v>594455009.87</v>
      </c>
      <c r="C13" s="11">
        <f t="shared" ref="C13:H13" si="3">SUM(C8:C12)</f>
        <v>743786490.94999957</v>
      </c>
      <c r="D13" s="11">
        <f t="shared" si="3"/>
        <v>51431057.899999991</v>
      </c>
      <c r="E13" s="11">
        <f t="shared" si="3"/>
        <v>71704344.539999977</v>
      </c>
      <c r="F13" s="11">
        <f t="shared" si="3"/>
        <v>0</v>
      </c>
      <c r="G13" s="11">
        <f t="shared" si="3"/>
        <v>71704344.539999977</v>
      </c>
      <c r="H13" s="11">
        <f t="shared" si="3"/>
        <v>672082146.40999961</v>
      </c>
      <c r="I13" s="12">
        <f>IF(C13=0,"",H13/C13)</f>
        <v>0.90359552719434877</v>
      </c>
      <c r="L13" s="139"/>
      <c r="M13" s="139"/>
      <c r="N13" s="139"/>
      <c r="O13" s="139"/>
      <c r="P13" s="139"/>
    </row>
    <row r="14" spans="1:16" s="5" customFormat="1" x14ac:dyDescent="0.2">
      <c r="A14" s="13" t="s">
        <v>13</v>
      </c>
      <c r="B14" s="14">
        <v>161646004.08000028</v>
      </c>
      <c r="C14" s="14">
        <v>266582364.34000015</v>
      </c>
      <c r="D14" s="14">
        <v>4116580.6100000106</v>
      </c>
      <c r="E14" s="14">
        <v>10923854.870000014</v>
      </c>
      <c r="F14" s="14">
        <v>6222408.2199999969</v>
      </c>
      <c r="G14" s="14">
        <f t="shared" ref="G14:G31" si="4">SUM(E14:F14)</f>
        <v>17146263.090000011</v>
      </c>
      <c r="H14" s="14">
        <f t="shared" ref="H14:H31" si="5">C14-G14</f>
        <v>249436101.25000015</v>
      </c>
      <c r="I14" s="27">
        <f t="shared" ref="I14:I31" si="6">IF(C14=0,"",H14/C14)</f>
        <v>0.93568118006436618</v>
      </c>
      <c r="L14" s="139"/>
      <c r="M14" s="139"/>
      <c r="N14" s="139"/>
      <c r="O14" s="139"/>
      <c r="P14" s="139"/>
    </row>
    <row r="15" spans="1:16" s="5" customFormat="1" x14ac:dyDescent="0.2">
      <c r="A15" s="6" t="s">
        <v>14</v>
      </c>
      <c r="B15" s="7">
        <v>64198908.809999973</v>
      </c>
      <c r="C15" s="7">
        <v>46102149.689999968</v>
      </c>
      <c r="D15" s="7">
        <v>2218186.540000001</v>
      </c>
      <c r="E15" s="7">
        <v>2757313.3200000008</v>
      </c>
      <c r="F15" s="7">
        <v>1160675.2399999998</v>
      </c>
      <c r="G15" s="7">
        <f t="shared" si="4"/>
        <v>3917988.5600000005</v>
      </c>
      <c r="H15" s="7">
        <f t="shared" si="5"/>
        <v>42184161.129999965</v>
      </c>
      <c r="I15" s="17">
        <f t="shared" si="6"/>
        <v>0.91501505707769948</v>
      </c>
      <c r="L15" s="139"/>
      <c r="M15" s="139"/>
      <c r="N15" s="139"/>
      <c r="O15" s="139"/>
      <c r="P15" s="139"/>
    </row>
    <row r="16" spans="1:16" s="5" customFormat="1" x14ac:dyDescent="0.2">
      <c r="A16" s="6" t="s">
        <v>15</v>
      </c>
      <c r="B16" s="7">
        <v>30661661.090000004</v>
      </c>
      <c r="C16" s="7">
        <v>4713670.419999999</v>
      </c>
      <c r="D16" s="7">
        <v>149383.21000000002</v>
      </c>
      <c r="E16" s="7">
        <v>291174.13</v>
      </c>
      <c r="F16" s="7">
        <v>328973.03999999998</v>
      </c>
      <c r="G16" s="7">
        <f t="shared" si="4"/>
        <v>620147.16999999993</v>
      </c>
      <c r="H16" s="7">
        <f t="shared" si="5"/>
        <v>4093523.2499999991</v>
      </c>
      <c r="I16" s="17">
        <f t="shared" si="6"/>
        <v>0.86843645933140989</v>
      </c>
      <c r="L16" s="139"/>
      <c r="M16" s="139"/>
      <c r="N16" s="139"/>
      <c r="O16" s="139"/>
      <c r="P16" s="139"/>
    </row>
    <row r="17" spans="1:16" s="5" customFormat="1" x14ac:dyDescent="0.2">
      <c r="A17" s="6" t="s">
        <v>16</v>
      </c>
      <c r="B17" s="7">
        <v>70625963.669999987</v>
      </c>
      <c r="C17" s="7">
        <v>54897117.12999998</v>
      </c>
      <c r="D17" s="7">
        <v>1858092.1800000046</v>
      </c>
      <c r="E17" s="7">
        <v>4122310.3900000048</v>
      </c>
      <c r="F17" s="7">
        <v>704456.46</v>
      </c>
      <c r="G17" s="7">
        <f t="shared" si="4"/>
        <v>4826766.8500000052</v>
      </c>
      <c r="H17" s="7">
        <f t="shared" si="5"/>
        <v>50070350.279999971</v>
      </c>
      <c r="I17" s="17">
        <f t="shared" si="6"/>
        <v>0.91207613254863806</v>
      </c>
      <c r="L17" s="139"/>
      <c r="M17" s="139"/>
      <c r="N17" s="139"/>
      <c r="O17" s="139"/>
      <c r="P17" s="139"/>
    </row>
    <row r="18" spans="1:16" s="5" customFormat="1" x14ac:dyDescent="0.2">
      <c r="A18" s="6" t="s">
        <v>17</v>
      </c>
      <c r="B18" s="7">
        <v>3011181.81</v>
      </c>
      <c r="C18" s="7">
        <v>6089297.8100000005</v>
      </c>
      <c r="D18" s="7">
        <v>18797.63</v>
      </c>
      <c r="E18" s="7">
        <v>28091.210000000003</v>
      </c>
      <c r="F18" s="7">
        <v>2611.67</v>
      </c>
      <c r="G18" s="7">
        <f t="shared" si="4"/>
        <v>30702.880000000005</v>
      </c>
      <c r="H18" s="7">
        <f t="shared" si="5"/>
        <v>6058594.9300000006</v>
      </c>
      <c r="I18" s="17">
        <f t="shared" si="6"/>
        <v>0.99495789482498642</v>
      </c>
      <c r="L18" s="139"/>
      <c r="M18" s="139"/>
      <c r="N18" s="139"/>
      <c r="O18" s="139"/>
      <c r="P18" s="139"/>
    </row>
    <row r="19" spans="1:16" s="5" customFormat="1" x14ac:dyDescent="0.2">
      <c r="A19" s="6" t="s">
        <v>32</v>
      </c>
      <c r="B19" s="7">
        <v>1426387.5100000007</v>
      </c>
      <c r="C19" s="7">
        <v>9370382.1000000015</v>
      </c>
      <c r="D19" s="7">
        <v>475407.44999999984</v>
      </c>
      <c r="E19" s="7">
        <v>1130797.3399999996</v>
      </c>
      <c r="F19" s="7">
        <v>204566.21000000002</v>
      </c>
      <c r="G19" s="7">
        <f>SUM(E19:F19)</f>
        <v>1335363.5499999996</v>
      </c>
      <c r="H19" s="7">
        <f>C19-G19</f>
        <v>8035018.5500000017</v>
      </c>
      <c r="I19" s="17">
        <f>IF(C19=0,"",H19/C19)</f>
        <v>0.85749102483238127</v>
      </c>
      <c r="L19" s="139"/>
      <c r="M19" s="139"/>
      <c r="N19" s="139"/>
      <c r="O19" s="139"/>
      <c r="P19" s="139"/>
    </row>
    <row r="20" spans="1:16" s="5" customFormat="1" x14ac:dyDescent="0.2">
      <c r="A20" s="6" t="s">
        <v>18</v>
      </c>
      <c r="B20" s="7">
        <v>55637199.100000009</v>
      </c>
      <c r="C20" s="7">
        <v>76406861.36999999</v>
      </c>
      <c r="D20" s="7">
        <v>101560.27000000002</v>
      </c>
      <c r="E20" s="7">
        <v>333782.01</v>
      </c>
      <c r="F20" s="7">
        <v>77280.510000000009</v>
      </c>
      <c r="G20" s="7">
        <f t="shared" si="4"/>
        <v>411062.52</v>
      </c>
      <c r="H20" s="7">
        <f t="shared" si="5"/>
        <v>75995798.849999994</v>
      </c>
      <c r="I20" s="17">
        <f t="shared" si="6"/>
        <v>0.99462008368581678</v>
      </c>
      <c r="L20" s="139"/>
      <c r="M20" s="139"/>
      <c r="N20" s="139"/>
      <c r="O20" s="139"/>
      <c r="P20" s="139"/>
    </row>
    <row r="21" spans="1:16" s="5" customFormat="1" x14ac:dyDescent="0.2">
      <c r="A21" s="6" t="s">
        <v>19</v>
      </c>
      <c r="B21" s="7">
        <v>27892879.379999995</v>
      </c>
      <c r="C21" s="7">
        <v>3793205.65</v>
      </c>
      <c r="D21" s="7">
        <v>18735.350000000002</v>
      </c>
      <c r="E21" s="7">
        <v>89842.13</v>
      </c>
      <c r="F21" s="7">
        <v>0</v>
      </c>
      <c r="G21" s="7">
        <f t="shared" si="4"/>
        <v>89842.13</v>
      </c>
      <c r="H21" s="7">
        <f t="shared" si="5"/>
        <v>3703363.52</v>
      </c>
      <c r="I21" s="17">
        <f t="shared" si="6"/>
        <v>0.97631498571663256</v>
      </c>
      <c r="L21" s="139"/>
      <c r="M21" s="139"/>
      <c r="N21" s="139"/>
      <c r="O21" s="139"/>
      <c r="P21" s="139"/>
    </row>
    <row r="22" spans="1:16" s="5" customFormat="1" x14ac:dyDescent="0.2">
      <c r="A22" s="6" t="s">
        <v>20</v>
      </c>
      <c r="B22" s="7">
        <v>26218011.210000001</v>
      </c>
      <c r="C22" s="7">
        <v>265366.21000000002</v>
      </c>
      <c r="D22" s="7">
        <v>6991.72</v>
      </c>
      <c r="E22" s="7">
        <v>33062.82</v>
      </c>
      <c r="F22" s="7">
        <v>15936.46</v>
      </c>
      <c r="G22" s="7">
        <f t="shared" si="4"/>
        <v>48999.28</v>
      </c>
      <c r="H22" s="7">
        <f t="shared" si="5"/>
        <v>216366.93000000002</v>
      </c>
      <c r="I22" s="17">
        <f t="shared" si="6"/>
        <v>0.81535222589190992</v>
      </c>
      <c r="L22" s="139"/>
      <c r="M22" s="139"/>
      <c r="N22" s="139"/>
      <c r="O22" s="139"/>
      <c r="P22" s="139"/>
    </row>
    <row r="23" spans="1:16" s="5" customFormat="1" x14ac:dyDescent="0.2">
      <c r="A23" s="6" t="s">
        <v>21</v>
      </c>
      <c r="B23" s="7">
        <v>79291426.530000016</v>
      </c>
      <c r="C23" s="7">
        <v>63854529.030000001</v>
      </c>
      <c r="D23" s="7">
        <v>124240.03</v>
      </c>
      <c r="E23" s="7">
        <v>265607.28000000003</v>
      </c>
      <c r="F23" s="7">
        <v>376002.55</v>
      </c>
      <c r="G23" s="7">
        <f t="shared" si="4"/>
        <v>641609.83000000007</v>
      </c>
      <c r="H23" s="7">
        <f t="shared" si="5"/>
        <v>63212919.200000003</v>
      </c>
      <c r="I23" s="17">
        <f t="shared" si="6"/>
        <v>0.98995200748096412</v>
      </c>
      <c r="L23" s="139"/>
      <c r="M23" s="139"/>
      <c r="N23" s="139"/>
      <c r="O23" s="139"/>
      <c r="P23" s="139"/>
    </row>
    <row r="24" spans="1:16" s="5" customFormat="1" x14ac:dyDescent="0.2">
      <c r="A24" s="6" t="s">
        <v>22</v>
      </c>
      <c r="B24" s="7">
        <v>29332108.090000007</v>
      </c>
      <c r="C24" s="7">
        <v>4639963.09</v>
      </c>
      <c r="D24" s="7">
        <v>298003</v>
      </c>
      <c r="E24" s="7">
        <v>303185.88</v>
      </c>
      <c r="F24" s="7">
        <v>20845.95</v>
      </c>
      <c r="G24" s="7">
        <f t="shared" si="4"/>
        <v>324031.83</v>
      </c>
      <c r="H24" s="7">
        <f t="shared" si="5"/>
        <v>4315931.26</v>
      </c>
      <c r="I24" s="17">
        <f t="shared" si="6"/>
        <v>0.93016499835993305</v>
      </c>
      <c r="L24" s="139"/>
      <c r="M24" s="139"/>
      <c r="N24" s="139"/>
      <c r="O24" s="139"/>
      <c r="P24" s="139"/>
    </row>
    <row r="25" spans="1:16" s="5" customFormat="1" x14ac:dyDescent="0.2">
      <c r="A25" s="6" t="s">
        <v>23</v>
      </c>
      <c r="B25" s="7">
        <v>81079576.519999996</v>
      </c>
      <c r="C25" s="7">
        <v>4408222.0200000005</v>
      </c>
      <c r="D25" s="7">
        <v>74064.84</v>
      </c>
      <c r="E25" s="7">
        <v>2487347.3000000003</v>
      </c>
      <c r="F25" s="7">
        <v>2021471.83</v>
      </c>
      <c r="G25" s="7">
        <f t="shared" si="4"/>
        <v>4508819.1300000008</v>
      </c>
      <c r="H25" s="7">
        <f t="shared" si="5"/>
        <v>-100597.11000000034</v>
      </c>
      <c r="I25" s="17">
        <f t="shared" si="6"/>
        <v>-2.2820336531053472E-2</v>
      </c>
      <c r="L25" s="139"/>
      <c r="M25" s="139"/>
      <c r="N25" s="139"/>
      <c r="O25" s="139"/>
      <c r="P25" s="139"/>
    </row>
    <row r="26" spans="1:16" s="5" customFormat="1" x14ac:dyDescent="0.2">
      <c r="A26" s="6" t="s">
        <v>24</v>
      </c>
      <c r="B26" s="7">
        <v>1650799.4900000002</v>
      </c>
      <c r="C26" s="7">
        <v>3929239.4900000012</v>
      </c>
      <c r="D26" s="7">
        <v>73585.19</v>
      </c>
      <c r="E26" s="7">
        <v>91862.260000000009</v>
      </c>
      <c r="F26" s="7">
        <v>2955</v>
      </c>
      <c r="G26" s="7">
        <f t="shared" si="4"/>
        <v>94817.260000000009</v>
      </c>
      <c r="H26" s="7">
        <f t="shared" si="5"/>
        <v>3834422.2300000014</v>
      </c>
      <c r="I26" s="17">
        <f t="shared" si="6"/>
        <v>0.97586880101319562</v>
      </c>
      <c r="L26" s="139"/>
      <c r="M26" s="139"/>
      <c r="N26" s="139"/>
      <c r="O26" s="139"/>
      <c r="P26" s="139"/>
    </row>
    <row r="27" spans="1:16" s="5" customFormat="1" x14ac:dyDescent="0.2">
      <c r="A27" s="6" t="s">
        <v>31</v>
      </c>
      <c r="B27" s="7">
        <v>53747141</v>
      </c>
      <c r="C27" s="7">
        <v>22069515.07</v>
      </c>
      <c r="D27" s="7">
        <v>0</v>
      </c>
      <c r="E27" s="7">
        <v>109762.66</v>
      </c>
      <c r="F27" s="7">
        <v>0</v>
      </c>
      <c r="G27" s="7">
        <f t="shared" si="4"/>
        <v>109762.66</v>
      </c>
      <c r="H27" s="7">
        <f t="shared" si="5"/>
        <v>21959752.41</v>
      </c>
      <c r="I27" s="17">
        <f t="shared" si="6"/>
        <v>0.99502650331682163</v>
      </c>
      <c r="L27" s="139"/>
      <c r="M27" s="139"/>
      <c r="N27" s="139"/>
      <c r="O27" s="139"/>
      <c r="P27" s="139"/>
    </row>
    <row r="28" spans="1:16" s="5" customFormat="1" x14ac:dyDescent="0.2">
      <c r="A28" s="6" t="s">
        <v>33</v>
      </c>
      <c r="B28" s="7">
        <v>2545325.2999999998</v>
      </c>
      <c r="C28" s="7">
        <v>2545325.2999999998</v>
      </c>
      <c r="D28" s="7">
        <v>196339.86</v>
      </c>
      <c r="E28" s="7">
        <v>306188.59999999998</v>
      </c>
      <c r="F28" s="7">
        <v>616287.53</v>
      </c>
      <c r="G28" s="7">
        <f t="shared" si="4"/>
        <v>922476.13</v>
      </c>
      <c r="H28" s="7">
        <f t="shared" si="5"/>
        <v>1622849.17</v>
      </c>
      <c r="I28" s="17">
        <f t="shared" si="6"/>
        <v>0.63758026135205592</v>
      </c>
      <c r="L28" s="139"/>
      <c r="M28" s="139"/>
      <c r="N28" s="139"/>
      <c r="O28" s="139"/>
      <c r="P28" s="139"/>
    </row>
    <row r="29" spans="1:16" s="5" customFormat="1" x14ac:dyDescent="0.2">
      <c r="A29" s="30" t="s">
        <v>39</v>
      </c>
      <c r="B29" s="7">
        <v>19871.870000000003</v>
      </c>
      <c r="C29" s="7">
        <v>19871.870000000003</v>
      </c>
      <c r="D29" s="7">
        <v>0</v>
      </c>
      <c r="E29" s="7">
        <v>0</v>
      </c>
      <c r="F29" s="7">
        <v>0</v>
      </c>
      <c r="G29" s="7">
        <f t="shared" ref="G29" si="7">SUM(E29:F29)</f>
        <v>0</v>
      </c>
      <c r="H29" s="7">
        <f t="shared" ref="H29" si="8">C29-G29</f>
        <v>19871.870000000003</v>
      </c>
      <c r="I29" s="17">
        <f t="shared" ref="I29" si="9">IF(C29=0,"",H29/C29)</f>
        <v>1</v>
      </c>
    </row>
    <row r="30" spans="1:16" s="5" customFormat="1" x14ac:dyDescent="0.2">
      <c r="A30" s="30" t="s">
        <v>34</v>
      </c>
      <c r="B30" s="7">
        <v>158938842.18999997</v>
      </c>
      <c r="C30" s="7">
        <v>120152066.78999993</v>
      </c>
      <c r="D30" s="7">
        <v>349081.25000000006</v>
      </c>
      <c r="E30" s="7">
        <v>349081.25000000006</v>
      </c>
      <c r="F30" s="7">
        <v>2510683.75</v>
      </c>
      <c r="G30" s="7">
        <f t="shared" ref="G30" si="10">SUM(E30:F30)</f>
        <v>2859765</v>
      </c>
      <c r="H30" s="7">
        <f t="shared" ref="H30" si="11">C30-G30</f>
        <v>117292301.78999993</v>
      </c>
      <c r="I30" s="17">
        <f t="shared" ref="I30" si="12">IF(C30=0,"",H30/C30)</f>
        <v>0.97619878645118729</v>
      </c>
      <c r="L30" s="139"/>
      <c r="M30" s="139"/>
      <c r="N30" s="139"/>
      <c r="O30" s="139"/>
      <c r="P30" s="139"/>
    </row>
    <row r="31" spans="1:16" s="5" customFormat="1" x14ac:dyDescent="0.2">
      <c r="A31" s="6" t="s">
        <v>26</v>
      </c>
      <c r="B31" s="7">
        <v>11025691.43</v>
      </c>
      <c r="C31" s="7">
        <v>11025691.43</v>
      </c>
      <c r="D31" s="7">
        <v>1738147.04</v>
      </c>
      <c r="E31" s="7">
        <v>4989888.9400000004</v>
      </c>
      <c r="F31" s="7">
        <v>0</v>
      </c>
      <c r="G31" s="7">
        <f t="shared" si="4"/>
        <v>4989888.9400000004</v>
      </c>
      <c r="H31" s="7">
        <f t="shared" si="5"/>
        <v>6035802.4899999993</v>
      </c>
      <c r="I31" s="17">
        <f t="shared" si="6"/>
        <v>0.54743074648153833</v>
      </c>
      <c r="L31" s="139"/>
      <c r="M31" s="139"/>
      <c r="N31" s="139"/>
      <c r="O31" s="139"/>
      <c r="P31" s="139"/>
    </row>
    <row r="32" spans="1:16" s="5" customFormat="1" x14ac:dyDescent="0.2">
      <c r="A32" s="10" t="s">
        <v>27</v>
      </c>
      <c r="B32" s="11">
        <f t="shared" ref="B32:H32" si="13">SUM(B14:B31)</f>
        <v>858948979.08000004</v>
      </c>
      <c r="C32" s="11">
        <f t="shared" si="13"/>
        <v>700864838.81000006</v>
      </c>
      <c r="D32" s="11">
        <f t="shared" si="13"/>
        <v>11817196.170000013</v>
      </c>
      <c r="E32" s="11">
        <f t="shared" si="13"/>
        <v>28613152.390000027</v>
      </c>
      <c r="F32" s="11">
        <f t="shared" si="13"/>
        <v>14265154.419999998</v>
      </c>
      <c r="G32" s="11">
        <f t="shared" si="13"/>
        <v>42878306.810000017</v>
      </c>
      <c r="H32" s="11">
        <f t="shared" si="13"/>
        <v>657986532.00000012</v>
      </c>
      <c r="I32" s="12">
        <f>IF(C32=0,"",H32/C32)</f>
        <v>0.93882086183292757</v>
      </c>
      <c r="L32" s="139"/>
      <c r="M32" s="139"/>
      <c r="N32" s="139"/>
      <c r="O32" s="139"/>
      <c r="P32" s="139"/>
    </row>
    <row r="33" spans="1:16" s="5" customFormat="1" x14ac:dyDescent="0.2">
      <c r="A33" s="13"/>
      <c r="B33" s="14"/>
      <c r="C33" s="14"/>
      <c r="D33" s="14"/>
      <c r="E33" s="14"/>
      <c r="F33" s="14"/>
      <c r="G33" s="14"/>
      <c r="H33" s="14"/>
      <c r="I33" s="16"/>
      <c r="L33" s="139"/>
      <c r="M33" s="139"/>
      <c r="N33" s="139"/>
      <c r="O33" s="139"/>
      <c r="P33" s="139"/>
    </row>
    <row r="34" spans="1:16" s="5" customFormat="1" x14ac:dyDescent="0.2">
      <c r="A34" s="6" t="s">
        <v>28</v>
      </c>
      <c r="B34" s="7">
        <f>B13-B32</f>
        <v>-264493969.21000004</v>
      </c>
      <c r="C34" s="7">
        <f>C13-C32</f>
        <v>42921652.139999509</v>
      </c>
      <c r="D34" s="7">
        <f>D13-D32</f>
        <v>39613861.729999974</v>
      </c>
      <c r="E34" s="7">
        <f>E13-E32</f>
        <v>43091192.149999946</v>
      </c>
      <c r="F34" s="7"/>
      <c r="G34" s="7">
        <f>G13-G32</f>
        <v>28826037.729999959</v>
      </c>
      <c r="H34" s="7">
        <f>H13-H32</f>
        <v>14095614.40999949</v>
      </c>
      <c r="I34" s="17"/>
      <c r="L34" s="139"/>
      <c r="M34" s="139"/>
      <c r="N34" s="139"/>
      <c r="O34" s="139"/>
      <c r="P34" s="139"/>
    </row>
    <row r="35" spans="1:16" s="5" customFormat="1" ht="24.95" customHeight="1" x14ac:dyDescent="0.2">
      <c r="A35" s="8"/>
      <c r="B35" s="9"/>
      <c r="C35" s="9"/>
      <c r="D35" s="9"/>
      <c r="E35" s="9"/>
      <c r="F35" s="9"/>
      <c r="G35" s="9"/>
      <c r="H35" s="9"/>
      <c r="I35" s="35"/>
      <c r="L35" s="139"/>
      <c r="M35" s="139"/>
      <c r="N35" s="139"/>
      <c r="O35" s="139"/>
      <c r="P35" s="139"/>
    </row>
    <row r="36" spans="1:16" s="5" customFormat="1" x14ac:dyDescent="0.2">
      <c r="A36" s="19" t="s">
        <v>78</v>
      </c>
      <c r="B36" s="21"/>
      <c r="C36" s="21"/>
      <c r="D36" s="21"/>
      <c r="E36" s="21">
        <v>562660.17000000156</v>
      </c>
      <c r="F36" s="21"/>
      <c r="G36" s="21">
        <f>E36</f>
        <v>562660.17000000156</v>
      </c>
      <c r="H36" s="21"/>
      <c r="I36" s="22"/>
      <c r="L36" s="139"/>
      <c r="M36" s="139"/>
      <c r="N36" s="139"/>
      <c r="O36" s="139"/>
      <c r="P36" s="139"/>
    </row>
    <row r="37" spans="1:16" s="5" customFormat="1" ht="15.75" thickBot="1" x14ac:dyDescent="0.25">
      <c r="A37" s="23" t="s">
        <v>29</v>
      </c>
      <c r="B37" s="25"/>
      <c r="C37" s="25"/>
      <c r="D37" s="25"/>
      <c r="E37" s="25">
        <f>SUM(E34:E36)</f>
        <v>43653852.319999948</v>
      </c>
      <c r="F37" s="25"/>
      <c r="G37" s="25">
        <f>SUM(G34:G36)</f>
        <v>29388697.899999961</v>
      </c>
      <c r="H37" s="25"/>
      <c r="I37" s="26"/>
      <c r="L37" s="139"/>
      <c r="M37" s="139"/>
      <c r="N37" s="139"/>
      <c r="O37" s="139"/>
      <c r="P37" s="139"/>
    </row>
    <row r="38" spans="1:16" s="5" customFormat="1" x14ac:dyDescent="0.2">
      <c r="B38" s="34"/>
      <c r="C38" s="34"/>
      <c r="D38" s="34"/>
      <c r="E38" s="34"/>
      <c r="F38" s="34"/>
      <c r="G38" s="34"/>
      <c r="H38" s="34"/>
      <c r="L38" s="139"/>
      <c r="M38" s="139"/>
      <c r="N38" s="139"/>
      <c r="O38" s="139"/>
      <c r="P38" s="139"/>
    </row>
    <row r="39" spans="1:16" x14ac:dyDescent="0.25">
      <c r="I39" s="31"/>
      <c r="J39" s="138"/>
      <c r="K39" s="138"/>
      <c r="O39" s="1"/>
      <c r="P39" s="1"/>
    </row>
    <row r="40" spans="1:16" x14ac:dyDescent="0.25">
      <c r="I40" s="31"/>
      <c r="J40" s="138"/>
      <c r="K40" s="138"/>
      <c r="O40" s="1"/>
      <c r="P40" s="1"/>
    </row>
    <row r="41" spans="1:16" x14ac:dyDescent="0.25">
      <c r="I41" s="31"/>
      <c r="J41" s="138"/>
      <c r="K41" s="138"/>
      <c r="O41" s="1"/>
      <c r="P41" s="1"/>
    </row>
    <row r="42" spans="1:16" x14ac:dyDescent="0.25">
      <c r="I42" s="31"/>
      <c r="J42" s="138"/>
      <c r="K42" s="138"/>
      <c r="O42" s="1"/>
      <c r="P42" s="1"/>
    </row>
    <row r="43" spans="1:16" x14ac:dyDescent="0.25">
      <c r="I43" s="31"/>
      <c r="J43" s="138"/>
      <c r="K43" s="138"/>
      <c r="O43" s="1"/>
      <c r="P43" s="1"/>
    </row>
    <row r="44" spans="1:16" x14ac:dyDescent="0.25">
      <c r="I44" s="31"/>
      <c r="J44" s="138"/>
      <c r="K44" s="138"/>
      <c r="O44" s="1"/>
      <c r="P44" s="1"/>
    </row>
    <row r="45" spans="1:16" x14ac:dyDescent="0.25">
      <c r="I45" s="31"/>
      <c r="J45" s="31"/>
      <c r="K45" s="138"/>
      <c r="O45" s="1"/>
      <c r="P45" s="1"/>
    </row>
    <row r="46" spans="1:16" x14ac:dyDescent="0.25">
      <c r="I46" s="31"/>
      <c r="J46" s="31"/>
      <c r="K46" s="138"/>
      <c r="O46" s="1"/>
      <c r="P46" s="1"/>
    </row>
    <row r="47" spans="1:16" x14ac:dyDescent="0.25">
      <c r="I47" s="31"/>
      <c r="J47" s="138"/>
      <c r="K47" s="138"/>
      <c r="O47" s="1"/>
      <c r="P47" s="1"/>
    </row>
    <row r="48" spans="1:16" x14ac:dyDescent="0.25">
      <c r="I48" s="31"/>
      <c r="J48" s="138"/>
      <c r="K48" s="138"/>
      <c r="O48" s="1"/>
      <c r="P48" s="1"/>
    </row>
    <row r="49" spans="7:16" x14ac:dyDescent="0.25">
      <c r="I49" s="31"/>
      <c r="J49" s="138"/>
      <c r="K49" s="138"/>
      <c r="O49" s="1"/>
      <c r="P49" s="1"/>
    </row>
    <row r="50" spans="7:16" x14ac:dyDescent="0.25">
      <c r="I50" s="31"/>
      <c r="J50" s="138"/>
      <c r="K50" s="138"/>
      <c r="O50" s="1"/>
      <c r="P50" s="1"/>
    </row>
    <row r="51" spans="7:16" x14ac:dyDescent="0.25">
      <c r="I51" s="31"/>
      <c r="J51" s="138"/>
      <c r="K51" s="138"/>
      <c r="O51" s="1"/>
      <c r="P51" s="1"/>
    </row>
    <row r="52" spans="7:16" x14ac:dyDescent="0.25">
      <c r="I52" s="31"/>
      <c r="J52" s="138"/>
      <c r="K52" s="138"/>
      <c r="O52" s="1"/>
      <c r="P52" s="1"/>
    </row>
    <row r="53" spans="7:16" x14ac:dyDescent="0.25">
      <c r="I53" s="31"/>
      <c r="J53" s="138"/>
      <c r="K53" s="138"/>
      <c r="O53" s="1"/>
      <c r="P53" s="1"/>
    </row>
    <row r="54" spans="7:16" x14ac:dyDescent="0.25">
      <c r="I54" s="31"/>
      <c r="J54" s="138"/>
      <c r="K54" s="138"/>
      <c r="O54" s="1"/>
      <c r="P54" s="1"/>
    </row>
    <row r="55" spans="7:16" x14ac:dyDescent="0.25">
      <c r="I55" s="31"/>
      <c r="J55" s="138"/>
      <c r="K55" s="138"/>
      <c r="O55" s="1"/>
      <c r="P55" s="1"/>
    </row>
    <row r="56" spans="7:16" x14ac:dyDescent="0.25">
      <c r="I56" s="31"/>
      <c r="J56" s="138"/>
      <c r="K56" s="138"/>
      <c r="O56" s="1"/>
      <c r="P56" s="1"/>
    </row>
    <row r="57" spans="7:16" x14ac:dyDescent="0.25">
      <c r="I57" s="31"/>
      <c r="J57" s="138"/>
      <c r="K57" s="138"/>
      <c r="O57" s="1"/>
      <c r="P57" s="1"/>
    </row>
    <row r="58" spans="7:16" x14ac:dyDescent="0.25">
      <c r="I58" s="31"/>
      <c r="J58" s="138"/>
      <c r="K58" s="138"/>
      <c r="O58" s="1"/>
      <c r="P58" s="1"/>
    </row>
    <row r="59" spans="7:16" x14ac:dyDescent="0.25">
      <c r="I59" s="31"/>
      <c r="J59" s="138"/>
      <c r="K59" s="138"/>
      <c r="O59" s="1"/>
      <c r="P59" s="1"/>
    </row>
    <row r="60" spans="7:16" x14ac:dyDescent="0.25">
      <c r="I60" s="31"/>
      <c r="J60" s="138"/>
      <c r="K60" s="138"/>
      <c r="O60" s="1"/>
      <c r="P60" s="1"/>
    </row>
    <row r="61" spans="7:16" x14ac:dyDescent="0.25">
      <c r="I61" s="31"/>
      <c r="J61" s="138"/>
      <c r="K61" s="138"/>
      <c r="O61" s="1"/>
      <c r="P61" s="1"/>
    </row>
    <row r="62" spans="7:16" x14ac:dyDescent="0.25">
      <c r="G62" s="1"/>
      <c r="H62" s="1"/>
      <c r="J62" s="138"/>
      <c r="K62" s="138"/>
      <c r="O62" s="1"/>
      <c r="P62" s="1"/>
    </row>
    <row r="63" spans="7:16" x14ac:dyDescent="0.25">
      <c r="G63" s="1"/>
      <c r="H63" s="1"/>
      <c r="J63" s="138"/>
      <c r="K63" s="138"/>
      <c r="O63" s="1"/>
      <c r="P63" s="1"/>
    </row>
    <row r="64" spans="7:16" x14ac:dyDescent="0.25">
      <c r="G64" s="1"/>
      <c r="H64" s="1"/>
      <c r="J64" s="138"/>
      <c r="K64" s="138"/>
      <c r="O64" s="1"/>
      <c r="P64" s="1"/>
    </row>
    <row r="65" spans="7:16" x14ac:dyDescent="0.25">
      <c r="G65" s="1"/>
      <c r="H65" s="1"/>
      <c r="J65" s="138"/>
      <c r="K65" s="138"/>
      <c r="O65" s="1"/>
      <c r="P65" s="1"/>
    </row>
    <row r="66" spans="7:16" x14ac:dyDescent="0.25">
      <c r="G66" s="1"/>
      <c r="H66" s="1"/>
      <c r="J66" s="138"/>
      <c r="K66" s="138"/>
      <c r="O66" s="1"/>
      <c r="P66" s="1"/>
    </row>
    <row r="67" spans="7:16" x14ac:dyDescent="0.25">
      <c r="G67" s="1"/>
      <c r="H67" s="1"/>
      <c r="J67" s="138"/>
      <c r="K67" s="138"/>
      <c r="O67" s="1"/>
      <c r="P67" s="1"/>
    </row>
    <row r="68" spans="7:16" x14ac:dyDescent="0.25">
      <c r="G68" s="1"/>
      <c r="H68" s="1"/>
      <c r="J68" s="138"/>
      <c r="K68" s="138"/>
      <c r="O68" s="1"/>
      <c r="P68" s="1"/>
    </row>
    <row r="69" spans="7:16" x14ac:dyDescent="0.25">
      <c r="G69" s="1"/>
      <c r="H69" s="1"/>
      <c r="J69" s="138"/>
      <c r="K69" s="138"/>
      <c r="O69" s="1"/>
      <c r="P69" s="1"/>
    </row>
    <row r="70" spans="7:16" x14ac:dyDescent="0.25">
      <c r="G70" s="1"/>
      <c r="H70" s="1"/>
      <c r="J70" s="138"/>
      <c r="K70" s="138"/>
      <c r="O70" s="1"/>
      <c r="P70" s="1"/>
    </row>
    <row r="71" spans="7:16" x14ac:dyDescent="0.25">
      <c r="G71" s="1"/>
      <c r="H71" s="1"/>
      <c r="J71" s="138"/>
      <c r="K71" s="138"/>
      <c r="O71" s="1"/>
      <c r="P71" s="1"/>
    </row>
    <row r="72" spans="7:16" x14ac:dyDescent="0.25">
      <c r="G72" s="1"/>
      <c r="H72" s="1"/>
      <c r="J72" s="138"/>
      <c r="K72" s="138"/>
      <c r="O72" s="1"/>
      <c r="P72" s="1"/>
    </row>
    <row r="73" spans="7:16" x14ac:dyDescent="0.25">
      <c r="G73" s="1"/>
      <c r="H73" s="1"/>
      <c r="J73" s="138"/>
      <c r="K73" s="138"/>
      <c r="O73" s="1"/>
      <c r="P73" s="1"/>
    </row>
    <row r="74" spans="7:16" x14ac:dyDescent="0.25">
      <c r="G74" s="1"/>
      <c r="H74" s="1"/>
      <c r="J74" s="138"/>
      <c r="K74" s="138"/>
      <c r="O74" s="1"/>
      <c r="P74" s="1"/>
    </row>
    <row r="75" spans="7:16" x14ac:dyDescent="0.25">
      <c r="G75" s="1"/>
      <c r="H75" s="1"/>
      <c r="J75" s="138"/>
      <c r="K75" s="138"/>
      <c r="O75" s="1"/>
      <c r="P75" s="1"/>
    </row>
    <row r="76" spans="7:16" x14ac:dyDescent="0.25">
      <c r="G76" s="1"/>
      <c r="H76" s="1"/>
      <c r="J76" s="138"/>
      <c r="K76" s="138"/>
      <c r="O76" s="1"/>
      <c r="P76" s="1"/>
    </row>
    <row r="77" spans="7:16" x14ac:dyDescent="0.25">
      <c r="G77" s="1"/>
      <c r="H77" s="1"/>
      <c r="J77" s="138"/>
      <c r="K77" s="138"/>
      <c r="O77" s="1"/>
      <c r="P77" s="1"/>
    </row>
    <row r="78" spans="7:16" x14ac:dyDescent="0.25">
      <c r="G78" s="1"/>
      <c r="H78" s="1"/>
      <c r="J78" s="138"/>
      <c r="K78" s="138"/>
      <c r="O78" s="1"/>
      <c r="P78" s="1"/>
    </row>
    <row r="79" spans="7:16" x14ac:dyDescent="0.25">
      <c r="G79" s="1"/>
      <c r="H79" s="1"/>
      <c r="J79" s="138"/>
      <c r="K79" s="138"/>
      <c r="O79" s="1"/>
      <c r="P79" s="1"/>
    </row>
    <row r="80" spans="7:16" x14ac:dyDescent="0.25">
      <c r="G80" s="1"/>
      <c r="H80" s="1"/>
      <c r="J80" s="138"/>
      <c r="K80" s="138"/>
      <c r="O80" s="1"/>
      <c r="P80" s="1"/>
    </row>
    <row r="81" spans="7:16" x14ac:dyDescent="0.25">
      <c r="G81" s="1"/>
      <c r="H81" s="1"/>
      <c r="J81" s="138"/>
      <c r="K81" s="138"/>
      <c r="O81" s="1"/>
      <c r="P81" s="1"/>
    </row>
    <row r="82" spans="7:16" x14ac:dyDescent="0.25">
      <c r="G82" s="1"/>
      <c r="H82" s="1"/>
      <c r="J82" s="138"/>
      <c r="K82" s="138"/>
      <c r="O82" s="1"/>
      <c r="P82" s="1"/>
    </row>
    <row r="83" spans="7:16" x14ac:dyDescent="0.25">
      <c r="G83" s="1"/>
      <c r="H83" s="1"/>
      <c r="J83" s="138"/>
      <c r="K83" s="138"/>
      <c r="O83" s="1"/>
      <c r="P83" s="1"/>
    </row>
    <row r="84" spans="7:16" x14ac:dyDescent="0.25">
      <c r="G84" s="1"/>
      <c r="H84" s="1"/>
      <c r="J84" s="138"/>
      <c r="K84" s="138"/>
      <c r="O84" s="1"/>
      <c r="P84" s="1"/>
    </row>
    <row r="85" spans="7:16" x14ac:dyDescent="0.25">
      <c r="G85" s="1"/>
      <c r="H85" s="1"/>
      <c r="J85" s="138"/>
      <c r="K85" s="138"/>
      <c r="O85" s="1"/>
      <c r="P85" s="1"/>
    </row>
    <row r="86" spans="7:16" x14ac:dyDescent="0.25">
      <c r="G86" s="1"/>
      <c r="H86" s="1"/>
      <c r="J86" s="138"/>
      <c r="K86" s="138"/>
      <c r="O86" s="1"/>
      <c r="P86" s="1"/>
    </row>
    <row r="87" spans="7:16" x14ac:dyDescent="0.25">
      <c r="G87" s="1"/>
      <c r="H87" s="1"/>
      <c r="J87" s="138"/>
      <c r="K87" s="138"/>
      <c r="O87" s="1"/>
      <c r="P87" s="1"/>
    </row>
    <row r="88" spans="7:16" x14ac:dyDescent="0.25">
      <c r="G88" s="1"/>
      <c r="H88" s="1"/>
      <c r="J88" s="138"/>
      <c r="K88" s="138"/>
      <c r="O88" s="1"/>
      <c r="P88" s="1"/>
    </row>
    <row r="89" spans="7:16" x14ac:dyDescent="0.25">
      <c r="G89" s="1"/>
      <c r="H89" s="1"/>
      <c r="J89" s="138"/>
      <c r="K89" s="138"/>
      <c r="O89" s="1"/>
      <c r="P89" s="1"/>
    </row>
    <row r="90" spans="7:16" x14ac:dyDescent="0.25">
      <c r="G90" s="1"/>
      <c r="H90" s="1"/>
      <c r="J90" s="138"/>
      <c r="K90" s="138"/>
      <c r="O90" s="1"/>
      <c r="P90" s="1"/>
    </row>
    <row r="91" spans="7:16" x14ac:dyDescent="0.25">
      <c r="G91" s="1"/>
      <c r="H91" s="1"/>
      <c r="J91" s="138"/>
      <c r="K91" s="138"/>
      <c r="O91" s="1"/>
      <c r="P91" s="1"/>
    </row>
    <row r="92" spans="7:16" x14ac:dyDescent="0.25">
      <c r="G92" s="1"/>
      <c r="H92" s="1"/>
      <c r="J92" s="138"/>
      <c r="K92" s="138"/>
      <c r="O92" s="1"/>
      <c r="P92" s="1"/>
    </row>
    <row r="93" spans="7:16" x14ac:dyDescent="0.25">
      <c r="G93" s="1"/>
      <c r="H93" s="1"/>
      <c r="J93" s="138"/>
      <c r="K93" s="138"/>
      <c r="O93" s="1"/>
      <c r="P93" s="1"/>
    </row>
    <row r="94" spans="7:16" x14ac:dyDescent="0.25">
      <c r="G94" s="1"/>
      <c r="H94" s="1"/>
      <c r="J94" s="138"/>
      <c r="K94" s="138"/>
      <c r="O94" s="1"/>
      <c r="P94" s="1"/>
    </row>
    <row r="95" spans="7:16" x14ac:dyDescent="0.25">
      <c r="G95" s="1"/>
      <c r="H95" s="1"/>
      <c r="J95" s="138"/>
      <c r="K95" s="138"/>
      <c r="O95" s="1"/>
      <c r="P95" s="1"/>
    </row>
    <row r="96" spans="7:16" x14ac:dyDescent="0.25">
      <c r="G96" s="1"/>
      <c r="H96" s="1"/>
      <c r="J96" s="138"/>
      <c r="K96" s="138"/>
      <c r="O96" s="1"/>
      <c r="P96" s="1"/>
    </row>
    <row r="97" spans="7:16" x14ac:dyDescent="0.25">
      <c r="G97" s="1"/>
      <c r="H97" s="1"/>
      <c r="J97" s="138"/>
      <c r="K97" s="138"/>
      <c r="O97" s="1"/>
      <c r="P97" s="1"/>
    </row>
    <row r="98" spans="7:16" x14ac:dyDescent="0.25">
      <c r="G98" s="1"/>
      <c r="H98" s="1"/>
      <c r="J98" s="138"/>
      <c r="K98" s="138"/>
      <c r="O98" s="1"/>
      <c r="P98" s="1"/>
    </row>
    <row r="99" spans="7:16" x14ac:dyDescent="0.25">
      <c r="G99" s="1"/>
      <c r="H99" s="1"/>
      <c r="J99" s="138"/>
      <c r="K99" s="138"/>
      <c r="O99" s="1"/>
      <c r="P99" s="1"/>
    </row>
    <row r="100" spans="7:16" x14ac:dyDescent="0.25">
      <c r="G100" s="1"/>
      <c r="H100" s="1"/>
      <c r="J100" s="138"/>
      <c r="K100" s="138"/>
      <c r="O100" s="1"/>
      <c r="P100" s="1"/>
    </row>
    <row r="101" spans="7:16" x14ac:dyDescent="0.25">
      <c r="G101" s="1"/>
      <c r="H101" s="1"/>
      <c r="J101" s="138"/>
      <c r="K101" s="138"/>
      <c r="O101" s="1"/>
      <c r="P101" s="1"/>
    </row>
    <row r="102" spans="7:16" x14ac:dyDescent="0.25">
      <c r="G102" s="1"/>
      <c r="H102" s="1"/>
      <c r="J102" s="138"/>
      <c r="K102" s="138"/>
      <c r="O102" s="1"/>
      <c r="P102" s="1"/>
    </row>
    <row r="103" spans="7:16" x14ac:dyDescent="0.25">
      <c r="G103" s="1"/>
      <c r="H103" s="1"/>
      <c r="J103" s="138"/>
      <c r="K103" s="138"/>
      <c r="O103" s="1"/>
      <c r="P103" s="1"/>
    </row>
    <row r="104" spans="7:16" x14ac:dyDescent="0.25">
      <c r="G104" s="1"/>
      <c r="H104" s="1"/>
      <c r="J104" s="138"/>
      <c r="K104" s="138"/>
      <c r="O104" s="1"/>
      <c r="P104" s="1"/>
    </row>
    <row r="105" spans="7:16" x14ac:dyDescent="0.25">
      <c r="G105" s="1"/>
      <c r="H105" s="1"/>
      <c r="J105" s="138"/>
      <c r="K105" s="138"/>
      <c r="O105" s="1"/>
      <c r="P105" s="1"/>
    </row>
    <row r="106" spans="7:16" x14ac:dyDescent="0.25">
      <c r="G106" s="1"/>
      <c r="H106" s="1"/>
      <c r="J106" s="138"/>
      <c r="K106" s="138"/>
      <c r="O106" s="1"/>
      <c r="P106" s="1"/>
    </row>
    <row r="107" spans="7:16" x14ac:dyDescent="0.25">
      <c r="G107" s="1"/>
      <c r="H107" s="1"/>
      <c r="J107" s="138"/>
      <c r="K107" s="138"/>
      <c r="O107" s="1"/>
      <c r="P107" s="1"/>
    </row>
    <row r="108" spans="7:16" x14ac:dyDescent="0.25">
      <c r="G108" s="1"/>
      <c r="H108" s="1"/>
      <c r="J108" s="138"/>
      <c r="K108" s="138"/>
      <c r="O108" s="1"/>
      <c r="P108" s="1"/>
    </row>
    <row r="109" spans="7:16" x14ac:dyDescent="0.25">
      <c r="G109" s="1"/>
      <c r="H109" s="1"/>
      <c r="J109" s="138"/>
      <c r="K109" s="138"/>
      <c r="O109" s="1"/>
      <c r="P109" s="1"/>
    </row>
    <row r="110" spans="7:16" x14ac:dyDescent="0.25">
      <c r="G110" s="1"/>
      <c r="H110" s="1"/>
      <c r="J110" s="138"/>
      <c r="K110" s="138"/>
      <c r="O110" s="1"/>
      <c r="P110" s="1"/>
    </row>
    <row r="111" spans="7:16" x14ac:dyDescent="0.25">
      <c r="G111" s="1"/>
      <c r="H111" s="1"/>
      <c r="J111" s="138"/>
      <c r="K111" s="138"/>
      <c r="O111" s="1"/>
      <c r="P111" s="1"/>
    </row>
    <row r="112" spans="7:16" x14ac:dyDescent="0.25">
      <c r="G112" s="1"/>
      <c r="H112" s="1"/>
      <c r="J112" s="138"/>
      <c r="K112" s="138"/>
      <c r="O112" s="1"/>
      <c r="P112" s="1"/>
    </row>
    <row r="113" spans="7:16" x14ac:dyDescent="0.25">
      <c r="G113" s="1"/>
      <c r="H113" s="1"/>
      <c r="J113" s="138"/>
      <c r="K113" s="138"/>
      <c r="O113" s="1"/>
      <c r="P113" s="1"/>
    </row>
    <row r="114" spans="7:16" x14ac:dyDescent="0.25">
      <c r="G114" s="1"/>
      <c r="H114" s="1"/>
      <c r="J114" s="138"/>
      <c r="K114" s="138"/>
      <c r="O114" s="1"/>
      <c r="P114" s="1"/>
    </row>
    <row r="115" spans="7:16" x14ac:dyDescent="0.25">
      <c r="G115" s="1"/>
      <c r="H115" s="1"/>
      <c r="J115" s="138"/>
      <c r="K115" s="138"/>
      <c r="O115" s="1"/>
      <c r="P115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E34" sqref="E34"/>
    </sheetView>
  </sheetViews>
  <sheetFormatPr defaultRowHeight="15" x14ac:dyDescent="0.25"/>
  <cols>
    <col min="1" max="1" width="49.7109375" style="1" bestFit="1" customWidth="1"/>
    <col min="2" max="3" width="15" style="31" bestFit="1" customWidth="1"/>
    <col min="4" max="5" width="13.28515625" style="31" bestFit="1" customWidth="1"/>
    <col min="6" max="6" width="17.7109375" style="31" customWidth="1"/>
    <col min="7" max="7" width="13.5703125" style="31" bestFit="1" customWidth="1"/>
    <col min="8" max="8" width="13.28515625" style="1" bestFit="1" customWidth="1"/>
    <col min="9" max="9" width="13.85546875" style="1" customWidth="1"/>
    <col min="10" max="10" width="3" style="1" customWidth="1"/>
    <col min="11" max="11" width="29.7109375" style="1" bestFit="1" customWidth="1"/>
    <col min="12" max="15" width="9" style="1" bestFit="1" customWidth="1"/>
    <col min="16" max="16" width="4.85546875" style="1" customWidth="1"/>
    <col min="17" max="17" width="8" style="1" bestFit="1" customWidth="1"/>
    <col min="18" max="18" width="9" style="1" bestFit="1" customWidth="1"/>
    <col min="19" max="19" width="2" style="1" bestFit="1" customWidth="1"/>
    <col min="20" max="16384" width="9.140625" style="1"/>
  </cols>
  <sheetData>
    <row r="1" spans="1:9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9" ht="18.75" x14ac:dyDescent="0.3">
      <c r="A2" s="154" t="s">
        <v>74</v>
      </c>
      <c r="B2" s="154"/>
      <c r="C2" s="154"/>
      <c r="D2" s="154"/>
      <c r="E2" s="154"/>
      <c r="F2" s="154"/>
      <c r="G2" s="154"/>
      <c r="H2" s="154"/>
      <c r="I2" s="154"/>
    </row>
    <row r="3" spans="1:9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</row>
    <row r="4" spans="1:9" x14ac:dyDescent="0.25">
      <c r="A4" s="155" t="s">
        <v>81</v>
      </c>
      <c r="B4" s="155"/>
      <c r="C4" s="155"/>
      <c r="D4" s="155"/>
      <c r="E4" s="155"/>
      <c r="F4" s="155"/>
      <c r="G4" s="155"/>
      <c r="H4" s="155"/>
      <c r="I4" s="155"/>
    </row>
    <row r="5" spans="1:9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</row>
    <row r="6" spans="1:9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</row>
    <row r="7" spans="1:9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" t="s">
        <v>7</v>
      </c>
      <c r="I7" s="4" t="s">
        <v>35</v>
      </c>
    </row>
    <row r="8" spans="1:9" s="5" customFormat="1" x14ac:dyDescent="0.2">
      <c r="A8" s="6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ref="G8:G11" si="0">SUM(E8:F8)</f>
        <v>0</v>
      </c>
      <c r="H8" s="7">
        <f t="shared" ref="H8:H11" si="1">C8-G8</f>
        <v>0</v>
      </c>
      <c r="I8" s="36" t="str">
        <f t="shared" ref="I8:I11" si="2">IF(C8=0,"NA",H8/C8)</f>
        <v>NA</v>
      </c>
    </row>
    <row r="9" spans="1:9" s="5" customFormat="1" x14ac:dyDescent="0.2">
      <c r="A9" s="6" t="s">
        <v>11</v>
      </c>
      <c r="B9" s="7">
        <v>29976191</v>
      </c>
      <c r="C9" s="7">
        <v>29976191</v>
      </c>
      <c r="D9" s="7">
        <v>0</v>
      </c>
      <c r="E9" s="7">
        <v>0</v>
      </c>
      <c r="F9" s="7">
        <v>0</v>
      </c>
      <c r="G9" s="7">
        <f t="shared" si="0"/>
        <v>0</v>
      </c>
      <c r="H9" s="7">
        <f t="shared" si="1"/>
        <v>29976191</v>
      </c>
      <c r="I9" s="36">
        <f t="shared" si="2"/>
        <v>1</v>
      </c>
    </row>
    <row r="10" spans="1:9" s="5" customFormat="1" ht="24.95" customHeight="1" x14ac:dyDescent="0.2">
      <c r="A10" s="10" t="s">
        <v>12</v>
      </c>
      <c r="B10" s="11">
        <f t="shared" ref="B10:F10" si="3">SUM(B8:B9)</f>
        <v>29976191</v>
      </c>
      <c r="C10" s="11">
        <f t="shared" si="3"/>
        <v>29976191</v>
      </c>
      <c r="D10" s="11">
        <f t="shared" si="3"/>
        <v>0</v>
      </c>
      <c r="E10" s="11">
        <f t="shared" si="3"/>
        <v>0</v>
      </c>
      <c r="F10" s="11">
        <f t="shared" si="3"/>
        <v>0</v>
      </c>
      <c r="G10" s="11">
        <f t="shared" si="0"/>
        <v>0</v>
      </c>
      <c r="H10" s="11">
        <f t="shared" si="1"/>
        <v>29976191</v>
      </c>
      <c r="I10" s="37">
        <f t="shared" si="2"/>
        <v>1</v>
      </c>
    </row>
    <row r="11" spans="1:9" s="5" customFormat="1" x14ac:dyDescent="0.2">
      <c r="A11" s="28" t="s">
        <v>26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 t="shared" si="0"/>
        <v>0</v>
      </c>
      <c r="H11" s="14">
        <f t="shared" si="1"/>
        <v>0</v>
      </c>
      <c r="I11" s="38" t="str">
        <f t="shared" si="2"/>
        <v>NA</v>
      </c>
    </row>
    <row r="12" spans="1:9" s="5" customFormat="1" x14ac:dyDescent="0.2">
      <c r="A12" s="29" t="s">
        <v>25</v>
      </c>
      <c r="B12" s="9">
        <v>29976191</v>
      </c>
      <c r="C12" s="9">
        <v>29976191</v>
      </c>
      <c r="D12" s="9">
        <v>0</v>
      </c>
      <c r="E12" s="9">
        <v>0</v>
      </c>
      <c r="F12" s="9">
        <v>0</v>
      </c>
      <c r="G12" s="9">
        <f t="shared" ref="G12" si="4">SUM(E12:F12)</f>
        <v>0</v>
      </c>
      <c r="H12" s="9">
        <f t="shared" ref="H12" si="5">C12-G12</f>
        <v>29976191</v>
      </c>
      <c r="I12" s="39">
        <f t="shared" ref="I12" si="6">IF(C12=0,"NA",H12/C12)</f>
        <v>1</v>
      </c>
    </row>
    <row r="13" spans="1:9" s="5" customFormat="1" ht="24.95" customHeight="1" x14ac:dyDescent="0.2">
      <c r="A13" s="10" t="s">
        <v>27</v>
      </c>
      <c r="B13" s="11">
        <f t="shared" ref="B13:F13" si="7">SUM(B12:B12)</f>
        <v>29976191</v>
      </c>
      <c r="C13" s="11">
        <f t="shared" si="7"/>
        <v>29976191</v>
      </c>
      <c r="D13" s="11">
        <f t="shared" si="7"/>
        <v>0</v>
      </c>
      <c r="E13" s="11">
        <f t="shared" si="7"/>
        <v>0</v>
      </c>
      <c r="F13" s="11">
        <f t="shared" si="7"/>
        <v>0</v>
      </c>
      <c r="G13" s="11">
        <f t="shared" ref="G13" si="8">SUM(E13:F13)</f>
        <v>0</v>
      </c>
      <c r="H13" s="11">
        <f t="shared" ref="H13" si="9">C13-G13</f>
        <v>29976191</v>
      </c>
      <c r="I13" s="37">
        <f t="shared" ref="I13" si="10">IF(C13=0,"NA",H13/C13)</f>
        <v>1</v>
      </c>
    </row>
    <row r="14" spans="1:9" s="5" customFormat="1" x14ac:dyDescent="0.2">
      <c r="A14" s="13"/>
      <c r="B14" s="14"/>
      <c r="C14" s="14"/>
      <c r="D14" s="14"/>
      <c r="E14" s="14"/>
      <c r="F14" s="14"/>
      <c r="G14" s="14"/>
      <c r="H14" s="15"/>
      <c r="I14" s="16"/>
    </row>
    <row r="15" spans="1:9" s="5" customFormat="1" x14ac:dyDescent="0.2">
      <c r="A15" s="6" t="s">
        <v>28</v>
      </c>
      <c r="B15" s="7">
        <f>B10-B13</f>
        <v>0</v>
      </c>
      <c r="C15" s="7">
        <f>C10-C13</f>
        <v>0</v>
      </c>
      <c r="D15" s="7">
        <f>D10-D13</f>
        <v>0</v>
      </c>
      <c r="E15" s="7">
        <f>E10-E13</f>
        <v>0</v>
      </c>
      <c r="F15" s="7"/>
      <c r="G15" s="7">
        <f>G10-G13</f>
        <v>0</v>
      </c>
      <c r="H15" s="7">
        <f>H10-H13</f>
        <v>0</v>
      </c>
      <c r="I15" s="17"/>
    </row>
    <row r="16" spans="1:9" s="5" customFormat="1" x14ac:dyDescent="0.2">
      <c r="A16" s="8"/>
      <c r="B16" s="9"/>
      <c r="C16" s="9"/>
      <c r="D16" s="9"/>
      <c r="E16" s="9"/>
      <c r="F16" s="9"/>
      <c r="G16" s="9"/>
      <c r="H16" s="9"/>
      <c r="I16" s="18"/>
    </row>
    <row r="17" spans="1:10" s="5" customFormat="1" ht="24.95" customHeight="1" x14ac:dyDescent="0.2">
      <c r="A17" s="19" t="s">
        <v>78</v>
      </c>
      <c r="B17" s="21"/>
      <c r="C17" s="21"/>
      <c r="D17" s="21"/>
      <c r="E17" s="21">
        <v>47604.51</v>
      </c>
      <c r="F17" s="21"/>
      <c r="G17" s="21">
        <f>E17</f>
        <v>47604.51</v>
      </c>
      <c r="H17" s="20"/>
      <c r="I17" s="22"/>
    </row>
    <row r="18" spans="1:10" s="5" customFormat="1" ht="24.95" customHeight="1" thickBot="1" x14ac:dyDescent="0.25">
      <c r="A18" s="23" t="s">
        <v>29</v>
      </c>
      <c r="B18" s="25"/>
      <c r="C18" s="25"/>
      <c r="D18" s="25"/>
      <c r="E18" s="25">
        <f>SUM(E15:E17)</f>
        <v>47604.51</v>
      </c>
      <c r="F18" s="25"/>
      <c r="G18" s="25">
        <f>SUM(G15:G17)</f>
        <v>47604.51</v>
      </c>
      <c r="H18" s="24"/>
      <c r="I18" s="26"/>
    </row>
    <row r="19" spans="1:10" s="5" customFormat="1" x14ac:dyDescent="0.2">
      <c r="B19" s="34"/>
      <c r="C19" s="34"/>
      <c r="D19" s="34"/>
      <c r="E19" s="34"/>
      <c r="F19" s="34"/>
      <c r="G19" s="34"/>
    </row>
    <row r="20" spans="1:10" s="5" customFormat="1" x14ac:dyDescent="0.2">
      <c r="A20" s="32"/>
      <c r="B20" s="34"/>
      <c r="C20" s="34"/>
      <c r="D20" s="34"/>
      <c r="E20" s="34"/>
      <c r="F20" s="34"/>
      <c r="G20" s="34"/>
    </row>
    <row r="21" spans="1:10" s="5" customFormat="1" x14ac:dyDescent="0.2">
      <c r="B21" s="34"/>
      <c r="C21" s="34"/>
      <c r="D21" s="34"/>
      <c r="E21" s="34"/>
      <c r="F21" s="34"/>
      <c r="G21" s="34"/>
      <c r="H21" s="34"/>
      <c r="I21" s="34"/>
    </row>
    <row r="22" spans="1:10" x14ac:dyDescent="0.25">
      <c r="H22" s="31"/>
      <c r="I22" s="31"/>
    </row>
    <row r="24" spans="1:10" x14ac:dyDescent="0.25">
      <c r="H24" s="31"/>
      <c r="I24" s="31"/>
      <c r="J24" s="31"/>
    </row>
    <row r="26" spans="1:10" x14ac:dyDescent="0.25">
      <c r="H26" s="31"/>
      <c r="I26" s="3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workbookViewId="0">
      <selection activeCell="E34" sqref="E34"/>
    </sheetView>
  </sheetViews>
  <sheetFormatPr defaultRowHeight="15" x14ac:dyDescent="0.25"/>
  <cols>
    <col min="1" max="1" width="52.28515625" style="1" bestFit="1" customWidth="1"/>
    <col min="2" max="3" width="15.140625" style="31" bestFit="1" customWidth="1"/>
    <col min="4" max="4" width="13.42578125" style="31" bestFit="1" customWidth="1"/>
    <col min="5" max="5" width="14.5703125" style="31" bestFit="1" customWidth="1"/>
    <col min="6" max="6" width="17.5703125" style="31" customWidth="1"/>
    <col min="7" max="7" width="14.5703125" style="31" bestFit="1" customWidth="1"/>
    <col min="8" max="8" width="14.28515625" style="31" bestFit="1" customWidth="1"/>
    <col min="9" max="9" width="14.85546875" style="1" customWidth="1"/>
    <col min="10" max="10" width="3.5703125" style="49" customWidth="1"/>
    <col min="11" max="11" width="29.7109375" style="1" bestFit="1" customWidth="1"/>
    <col min="12" max="13" width="14.5703125" style="138" bestFit="1" customWidth="1"/>
    <col min="14" max="14" width="12.85546875" style="138" bestFit="1" customWidth="1"/>
    <col min="15" max="16" width="13.5703125" style="138" bestFit="1" customWidth="1"/>
    <col min="17" max="17" width="10.28515625" style="1" customWidth="1"/>
    <col min="18" max="18" width="9.7109375" style="1" bestFit="1" customWidth="1"/>
    <col min="19" max="16384" width="9.140625" style="1"/>
  </cols>
  <sheetData>
    <row r="1" spans="1:20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41"/>
    </row>
    <row r="2" spans="1:20" ht="18.75" x14ac:dyDescent="0.3">
      <c r="A2" s="154" t="s">
        <v>75</v>
      </c>
      <c r="B2" s="154"/>
      <c r="C2" s="154"/>
      <c r="D2" s="154"/>
      <c r="E2" s="154"/>
      <c r="F2" s="154"/>
      <c r="G2" s="154"/>
      <c r="H2" s="154"/>
      <c r="I2" s="154"/>
      <c r="J2" s="42"/>
    </row>
    <row r="3" spans="1:20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  <c r="J3" s="41"/>
    </row>
    <row r="4" spans="1:20" x14ac:dyDescent="0.25">
      <c r="A4" s="155" t="s">
        <v>81</v>
      </c>
      <c r="B4" s="155"/>
      <c r="C4" s="155"/>
      <c r="D4" s="155"/>
      <c r="E4" s="155"/>
      <c r="F4" s="155"/>
      <c r="G4" s="155"/>
      <c r="H4" s="155"/>
      <c r="I4" s="155"/>
      <c r="J4" s="43"/>
    </row>
    <row r="5" spans="1:20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  <c r="J5" s="41"/>
    </row>
    <row r="6" spans="1:20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  <c r="J6" s="41"/>
    </row>
    <row r="7" spans="1:20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4" t="s">
        <v>35</v>
      </c>
      <c r="J7" s="44"/>
      <c r="L7" s="139"/>
      <c r="M7" s="139"/>
      <c r="N7" s="139"/>
      <c r="O7" s="139"/>
      <c r="P7" s="139"/>
    </row>
    <row r="8" spans="1:20" s="5" customFormat="1" x14ac:dyDescent="0.2">
      <c r="A8" s="6" t="s">
        <v>8</v>
      </c>
      <c r="B8" s="7">
        <v>428990000</v>
      </c>
      <c r="C8" s="7">
        <v>429000000</v>
      </c>
      <c r="D8" s="7">
        <v>12655819.199999999</v>
      </c>
      <c r="E8" s="7">
        <v>25304060.219999999</v>
      </c>
      <c r="F8" s="7">
        <v>0</v>
      </c>
      <c r="G8" s="7">
        <f t="shared" ref="G8:G18" si="0">SUM(E8:F8)</f>
        <v>25304060.219999999</v>
      </c>
      <c r="H8" s="7">
        <f t="shared" ref="H8:H11" si="1">C8-G8</f>
        <v>403695939.77999997</v>
      </c>
      <c r="I8" s="36">
        <f>IF(C8=0,"NA",H8/C8)</f>
        <v>0.94101617664335657</v>
      </c>
      <c r="J8" s="45"/>
      <c r="K8"/>
      <c r="L8" s="140"/>
      <c r="M8" s="140"/>
      <c r="N8" s="140"/>
      <c r="O8" s="140"/>
      <c r="P8" s="140"/>
    </row>
    <row r="9" spans="1:20" s="5" customFormat="1" x14ac:dyDescent="0.2">
      <c r="A9" s="6" t="s">
        <v>9</v>
      </c>
      <c r="B9" s="7">
        <v>2800000</v>
      </c>
      <c r="C9" s="7">
        <v>2800000</v>
      </c>
      <c r="D9" s="7">
        <v>193043.09</v>
      </c>
      <c r="E9" s="7">
        <v>214014.22</v>
      </c>
      <c r="F9" s="7">
        <v>0</v>
      </c>
      <c r="G9" s="7">
        <f t="shared" si="0"/>
        <v>214014.22</v>
      </c>
      <c r="H9" s="7">
        <f t="shared" si="1"/>
        <v>2585985.7799999998</v>
      </c>
      <c r="I9" s="36">
        <f t="shared" ref="I9:I19" si="2">IF(C9=0,"NA",H9/C9)</f>
        <v>0.92356634999999998</v>
      </c>
      <c r="J9" s="45"/>
      <c r="K9"/>
      <c r="L9" s="140"/>
      <c r="M9" s="140"/>
      <c r="N9" s="140"/>
      <c r="O9" s="140"/>
      <c r="P9" s="140"/>
    </row>
    <row r="10" spans="1:20" s="5" customFormat="1" x14ac:dyDescent="0.2">
      <c r="A10" s="6" t="s">
        <v>10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f t="shared" si="0"/>
        <v>0</v>
      </c>
      <c r="H10" s="7">
        <f t="shared" si="1"/>
        <v>0</v>
      </c>
      <c r="I10" s="36" t="str">
        <f t="shared" si="2"/>
        <v>NA</v>
      </c>
      <c r="J10" s="45"/>
      <c r="K10"/>
      <c r="L10" s="140"/>
      <c r="M10" s="140"/>
      <c r="N10" s="140"/>
      <c r="O10" s="140"/>
      <c r="P10" s="140"/>
    </row>
    <row r="11" spans="1:20" s="5" customFormat="1" x14ac:dyDescent="0.2">
      <c r="A11" s="6" t="s">
        <v>11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f t="shared" si="0"/>
        <v>0</v>
      </c>
      <c r="H11" s="7">
        <f t="shared" si="1"/>
        <v>0</v>
      </c>
      <c r="I11" s="36" t="str">
        <f t="shared" si="2"/>
        <v>NA</v>
      </c>
      <c r="J11" s="45"/>
      <c r="K11"/>
      <c r="L11" s="140"/>
      <c r="M11" s="140"/>
      <c r="N11" s="140"/>
      <c r="O11" s="140"/>
      <c r="P11" s="140"/>
    </row>
    <row r="12" spans="1:20" s="5" customFormat="1" ht="24.95" customHeight="1" x14ac:dyDescent="0.2">
      <c r="A12" s="10" t="s">
        <v>12</v>
      </c>
      <c r="B12" s="11">
        <f>SUM(B8:B11)</f>
        <v>431790000</v>
      </c>
      <c r="C12" s="11">
        <f t="shared" ref="C12:F12" si="3">SUM(C8:C11)</f>
        <v>431800000</v>
      </c>
      <c r="D12" s="11">
        <f t="shared" si="3"/>
        <v>12848862.289999999</v>
      </c>
      <c r="E12" s="11">
        <f t="shared" si="3"/>
        <v>25518074.439999998</v>
      </c>
      <c r="F12" s="11">
        <f t="shared" si="3"/>
        <v>0</v>
      </c>
      <c r="G12" s="11">
        <f t="shared" ref="G12:H12" si="4">SUM(G8:G11)</f>
        <v>25518074.439999998</v>
      </c>
      <c r="H12" s="11">
        <f t="shared" si="4"/>
        <v>406281925.55999994</v>
      </c>
      <c r="I12" s="37">
        <f t="shared" si="2"/>
        <v>0.94090302352941169</v>
      </c>
      <c r="J12" s="46"/>
      <c r="L12" s="139"/>
      <c r="M12" s="139"/>
      <c r="N12" s="139"/>
      <c r="O12" s="139"/>
      <c r="P12" s="139"/>
    </row>
    <row r="13" spans="1:20" s="5" customFormat="1" x14ac:dyDescent="0.2">
      <c r="A13" s="13" t="s">
        <v>13</v>
      </c>
      <c r="B13" s="14">
        <v>5000</v>
      </c>
      <c r="C13" s="14">
        <v>5000</v>
      </c>
      <c r="D13" s="14">
        <v>43218.400000000001</v>
      </c>
      <c r="E13" s="14">
        <v>201922.12</v>
      </c>
      <c r="F13" s="14">
        <v>2470256.5699999998</v>
      </c>
      <c r="G13" s="7">
        <f t="shared" si="0"/>
        <v>2672178.69</v>
      </c>
      <c r="H13" s="7">
        <f t="shared" ref="H13" si="5">C13-G13</f>
        <v>-2667178.69</v>
      </c>
      <c r="I13" s="40">
        <f t="shared" si="2"/>
        <v>-533.43573800000001</v>
      </c>
      <c r="J13" s="45"/>
      <c r="L13" s="139"/>
      <c r="M13" s="139"/>
      <c r="N13" s="139"/>
      <c r="O13" s="139"/>
      <c r="P13" s="139"/>
    </row>
    <row r="14" spans="1:20" s="5" customFormat="1" x14ac:dyDescent="0.25">
      <c r="A14" s="6" t="s">
        <v>21</v>
      </c>
      <c r="B14" s="7">
        <v>45882.429999999993</v>
      </c>
      <c r="C14" s="7">
        <v>1202279.0600000003</v>
      </c>
      <c r="D14" s="7">
        <v>0</v>
      </c>
      <c r="E14" s="7">
        <v>0</v>
      </c>
      <c r="F14" s="7">
        <v>28434.499999999993</v>
      </c>
      <c r="G14" s="7">
        <f t="shared" si="0"/>
        <v>28434.499999999993</v>
      </c>
      <c r="H14" s="7">
        <f t="shared" ref="H14" si="6">C14-G14</f>
        <v>1173844.5600000003</v>
      </c>
      <c r="I14" s="40">
        <f t="shared" ref="I14" si="7">IF(C14=0,"NA",H14/C14)</f>
        <v>0.97634950075567317</v>
      </c>
      <c r="J14" s="45"/>
      <c r="K14" s="1"/>
      <c r="L14" s="138"/>
      <c r="M14" s="138"/>
      <c r="N14" s="138"/>
      <c r="O14" s="138"/>
      <c r="P14" s="138"/>
      <c r="Q14" s="1"/>
      <c r="R14" s="1"/>
      <c r="S14" s="1"/>
    </row>
    <row r="15" spans="1:20" s="5" customFormat="1" x14ac:dyDescent="0.25">
      <c r="A15" s="6" t="s">
        <v>22</v>
      </c>
      <c r="B15" s="7">
        <v>1000000</v>
      </c>
      <c r="C15" s="7">
        <v>1000000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ref="H15" si="8">C15-G15</f>
        <v>1000000</v>
      </c>
      <c r="I15" s="40">
        <f t="shared" ref="I15" si="9">IF(C15=0,"NA",H15/C15)</f>
        <v>1</v>
      </c>
      <c r="J15" s="45"/>
      <c r="K15" s="1"/>
      <c r="L15" s="138"/>
      <c r="M15" s="138"/>
      <c r="N15" s="138"/>
      <c r="O15" s="138"/>
      <c r="P15" s="138"/>
      <c r="Q15" s="1"/>
      <c r="R15" s="1"/>
      <c r="S15" s="1"/>
    </row>
    <row r="16" spans="1:20" s="5" customFormat="1" x14ac:dyDescent="0.25">
      <c r="A16" s="6" t="s">
        <v>34</v>
      </c>
      <c r="B16" s="7">
        <v>729323049.63999987</v>
      </c>
      <c r="C16" s="7">
        <v>453723966.15999979</v>
      </c>
      <c r="D16" s="7">
        <v>3156708.75</v>
      </c>
      <c r="E16" s="7">
        <v>9591454.5500000007</v>
      </c>
      <c r="F16" s="7">
        <v>42841506.030000009</v>
      </c>
      <c r="G16" s="7">
        <f t="shared" si="0"/>
        <v>52432960.580000013</v>
      </c>
      <c r="H16" s="7">
        <f>C16-G16</f>
        <v>401291005.5799998</v>
      </c>
      <c r="I16" s="40">
        <f t="shared" si="2"/>
        <v>0.88443863562298541</v>
      </c>
      <c r="J16" s="45"/>
      <c r="K16" s="1"/>
      <c r="L16" s="138"/>
      <c r="M16" s="138"/>
      <c r="N16" s="138"/>
      <c r="O16" s="138"/>
      <c r="P16" s="138"/>
      <c r="Q16" s="1"/>
      <c r="R16" s="1"/>
      <c r="S16" s="1"/>
      <c r="T16" s="1"/>
    </row>
    <row r="17" spans="1:20" s="5" customFormat="1" x14ac:dyDescent="0.25">
      <c r="A17" s="6" t="s">
        <v>26</v>
      </c>
      <c r="B17" s="7">
        <v>83403442</v>
      </c>
      <c r="C17" s="7">
        <v>83403442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>C17-G17</f>
        <v>83403442</v>
      </c>
      <c r="I17" s="40">
        <f t="shared" si="2"/>
        <v>1</v>
      </c>
      <c r="J17" s="45"/>
      <c r="K17" s="1"/>
      <c r="L17" s="138"/>
      <c r="M17" s="138"/>
      <c r="N17" s="138"/>
      <c r="O17" s="138"/>
      <c r="P17" s="138"/>
      <c r="Q17" s="1"/>
      <c r="R17" s="1"/>
      <c r="S17" s="1"/>
      <c r="T17" s="1"/>
    </row>
    <row r="18" spans="1:20" s="5" customFormat="1" x14ac:dyDescent="0.25">
      <c r="A18" s="6" t="s">
        <v>25</v>
      </c>
      <c r="B18" s="7">
        <v>5572080</v>
      </c>
      <c r="C18" s="7">
        <v>5572080</v>
      </c>
      <c r="D18" s="7">
        <v>0</v>
      </c>
      <c r="E18" s="7">
        <v>0</v>
      </c>
      <c r="F18" s="7">
        <v>0</v>
      </c>
      <c r="G18" s="7">
        <f t="shared" si="0"/>
        <v>0</v>
      </c>
      <c r="H18" s="7">
        <f>C18-G18</f>
        <v>5572080</v>
      </c>
      <c r="I18" s="40">
        <f t="shared" si="2"/>
        <v>1</v>
      </c>
      <c r="J18" s="46"/>
      <c r="K18" s="1"/>
      <c r="L18" s="138"/>
      <c r="M18" s="138"/>
      <c r="N18" s="138"/>
      <c r="O18" s="138"/>
      <c r="P18" s="138"/>
      <c r="Q18" s="1"/>
      <c r="R18" s="1"/>
      <c r="S18" s="1"/>
      <c r="T18" s="1"/>
    </row>
    <row r="19" spans="1:20" s="5" customFormat="1" x14ac:dyDescent="0.25">
      <c r="A19" s="10" t="s">
        <v>27</v>
      </c>
      <c r="B19" s="11">
        <f t="shared" ref="B19:H19" si="10">SUM(B13:B18)</f>
        <v>819349454.06999981</v>
      </c>
      <c r="C19" s="11">
        <f t="shared" si="10"/>
        <v>544906767.21999979</v>
      </c>
      <c r="D19" s="11">
        <f t="shared" si="10"/>
        <v>3199927.15</v>
      </c>
      <c r="E19" s="11">
        <f t="shared" si="10"/>
        <v>9793376.6699999999</v>
      </c>
      <c r="F19" s="11">
        <f t="shared" si="10"/>
        <v>45340197.100000009</v>
      </c>
      <c r="G19" s="11">
        <f t="shared" si="10"/>
        <v>55133573.770000011</v>
      </c>
      <c r="H19" s="11">
        <f t="shared" si="10"/>
        <v>489773193.44999981</v>
      </c>
      <c r="I19" s="37">
        <f t="shared" si="2"/>
        <v>0.89882017055636887</v>
      </c>
      <c r="J19" s="45"/>
      <c r="K19" s="1"/>
      <c r="L19" s="138"/>
      <c r="M19" s="138"/>
      <c r="N19" s="138"/>
      <c r="O19" s="138"/>
      <c r="P19" s="138"/>
      <c r="Q19" s="1"/>
      <c r="R19" s="1"/>
      <c r="S19" s="1"/>
      <c r="T19" s="1"/>
    </row>
    <row r="20" spans="1:20" s="5" customFormat="1" x14ac:dyDescent="0.25">
      <c r="A20" s="13"/>
      <c r="B20" s="14"/>
      <c r="C20" s="14"/>
      <c r="D20" s="14"/>
      <c r="E20" s="14"/>
      <c r="F20" s="14"/>
      <c r="G20" s="14"/>
      <c r="H20" s="14"/>
      <c r="I20" s="16"/>
      <c r="J20" s="46"/>
      <c r="K20" s="1"/>
      <c r="L20" s="138"/>
      <c r="M20" s="138"/>
      <c r="N20" s="138"/>
      <c r="O20" s="138"/>
      <c r="P20" s="138"/>
      <c r="Q20" s="1"/>
      <c r="R20" s="1"/>
      <c r="S20" s="1"/>
      <c r="T20" s="1"/>
    </row>
    <row r="21" spans="1:20" s="5" customFormat="1" x14ac:dyDescent="0.25">
      <c r="A21" s="6" t="s">
        <v>28</v>
      </c>
      <c r="B21" s="7">
        <f>B12-B19</f>
        <v>-387559454.06999981</v>
      </c>
      <c r="C21" s="7">
        <f>C12-C19</f>
        <v>-113106767.21999979</v>
      </c>
      <c r="D21" s="7">
        <f>D12-D19</f>
        <v>9648935.1399999987</v>
      </c>
      <c r="E21" s="7">
        <f>E12-E19</f>
        <v>15724697.769999998</v>
      </c>
      <c r="F21" s="7"/>
      <c r="G21" s="7">
        <f>G12-G19</f>
        <v>-29615499.330000013</v>
      </c>
      <c r="H21" s="7">
        <f>H12-H19</f>
        <v>-83491267.889999866</v>
      </c>
      <c r="I21" s="17"/>
      <c r="J21" s="47"/>
      <c r="K21" s="1"/>
      <c r="L21" s="138"/>
      <c r="M21" s="138"/>
      <c r="N21" s="138"/>
      <c r="O21" s="138"/>
      <c r="P21" s="138"/>
      <c r="Q21" s="1"/>
      <c r="R21" s="1"/>
      <c r="S21" s="1"/>
      <c r="T21" s="1"/>
    </row>
    <row r="22" spans="1:20" s="5" customFormat="1" ht="24.95" customHeight="1" x14ac:dyDescent="0.25">
      <c r="A22" s="8"/>
      <c r="B22" s="9"/>
      <c r="C22" s="9"/>
      <c r="D22" s="9"/>
      <c r="E22" s="9"/>
      <c r="F22" s="9"/>
      <c r="G22" s="9"/>
      <c r="H22" s="9"/>
      <c r="I22" s="18"/>
      <c r="J22" s="48"/>
      <c r="K22" s="1"/>
      <c r="L22" s="138"/>
      <c r="M22" s="138"/>
      <c r="N22" s="138"/>
      <c r="O22" s="138"/>
      <c r="P22" s="138"/>
      <c r="Q22" s="1"/>
      <c r="R22" s="1"/>
      <c r="S22" s="1"/>
      <c r="T22" s="1"/>
    </row>
    <row r="23" spans="1:20" s="5" customFormat="1" ht="24.95" customHeight="1" x14ac:dyDescent="0.25">
      <c r="A23" s="19" t="s">
        <v>78</v>
      </c>
      <c r="B23" s="21"/>
      <c r="C23" s="21"/>
      <c r="D23" s="21"/>
      <c r="E23" s="21">
        <v>364500000</v>
      </c>
      <c r="F23" s="21"/>
      <c r="G23" s="21">
        <f>E23</f>
        <v>364500000</v>
      </c>
      <c r="H23" s="21"/>
      <c r="I23" s="22"/>
      <c r="J23" s="48"/>
      <c r="K23" s="1"/>
      <c r="L23" s="138"/>
      <c r="M23" s="138"/>
      <c r="N23" s="138"/>
      <c r="O23" s="138"/>
      <c r="P23" s="138"/>
      <c r="Q23" s="1"/>
      <c r="R23" s="1"/>
      <c r="S23" s="1"/>
      <c r="T23" s="1"/>
    </row>
    <row r="24" spans="1:20" s="5" customFormat="1" ht="15.75" thickBot="1" x14ac:dyDescent="0.3">
      <c r="A24" s="23" t="s">
        <v>29</v>
      </c>
      <c r="B24" s="25"/>
      <c r="C24" s="25"/>
      <c r="D24" s="25"/>
      <c r="E24" s="25">
        <f>SUM(E21:E23)</f>
        <v>380224697.76999998</v>
      </c>
      <c r="F24" s="25"/>
      <c r="G24" s="25">
        <f>SUM(G21:G23)</f>
        <v>334884500.66999996</v>
      </c>
      <c r="H24" s="25"/>
      <c r="I24" s="26"/>
      <c r="J24" s="47"/>
      <c r="K24" s="1"/>
      <c r="L24" s="138"/>
      <c r="M24" s="138"/>
      <c r="N24" s="138"/>
      <c r="O24" s="138"/>
      <c r="P24" s="138"/>
      <c r="Q24" s="1"/>
      <c r="R24" s="1"/>
      <c r="S24" s="1"/>
      <c r="T24" s="1"/>
    </row>
    <row r="25" spans="1:20" x14ac:dyDescent="0.25">
      <c r="A25" s="5"/>
      <c r="B25" s="34"/>
      <c r="C25" s="34"/>
      <c r="D25" s="34"/>
      <c r="E25" s="34"/>
      <c r="F25" s="34"/>
      <c r="G25" s="34"/>
      <c r="H25" s="34"/>
      <c r="I25" s="5"/>
    </row>
    <row r="27" spans="1:20" x14ac:dyDescent="0.25">
      <c r="I27" s="31"/>
    </row>
    <row r="28" spans="1:20" x14ac:dyDescent="0.25">
      <c r="I28" s="31"/>
    </row>
    <row r="29" spans="1:20" x14ac:dyDescent="0.25">
      <c r="I29" s="31"/>
    </row>
    <row r="30" spans="1:20" x14ac:dyDescent="0.25">
      <c r="I30" s="31"/>
    </row>
    <row r="32" spans="1:20" x14ac:dyDescent="0.25">
      <c r="I32" s="31"/>
    </row>
    <row r="33" spans="9:9" x14ac:dyDescent="0.25">
      <c r="I33" s="3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workbookViewId="0">
      <selection activeCell="E34" sqref="E34"/>
    </sheetView>
  </sheetViews>
  <sheetFormatPr defaultRowHeight="15" x14ac:dyDescent="0.25"/>
  <cols>
    <col min="1" max="1" width="49.7109375" style="1" bestFit="1" customWidth="1"/>
    <col min="2" max="3" width="15" style="31" bestFit="1" customWidth="1"/>
    <col min="4" max="5" width="13.28515625" style="31" bestFit="1" customWidth="1"/>
    <col min="6" max="6" width="16.85546875" style="31" customWidth="1"/>
    <col min="7" max="7" width="13.5703125" style="31" bestFit="1" customWidth="1"/>
    <col min="8" max="8" width="13.28515625" style="31" bestFit="1" customWidth="1"/>
    <col min="9" max="9" width="15.140625" style="1" customWidth="1"/>
    <col min="10" max="10" width="2.5703125" style="1" customWidth="1"/>
    <col min="11" max="11" width="5" style="1" bestFit="1" customWidth="1"/>
    <col min="12" max="12" width="52.28515625" style="1" bestFit="1" customWidth="1"/>
    <col min="13" max="14" width="13.5703125" style="1" bestFit="1" customWidth="1"/>
    <col min="15" max="15" width="12.42578125" style="1" bestFit="1" customWidth="1"/>
    <col min="16" max="17" width="13.5703125" style="1" bestFit="1" customWidth="1"/>
    <col min="18" max="16384" width="9.140625" style="1"/>
  </cols>
  <sheetData>
    <row r="1" spans="1:18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8" ht="18.75" x14ac:dyDescent="0.3">
      <c r="A2" s="154" t="s">
        <v>76</v>
      </c>
      <c r="B2" s="154"/>
      <c r="C2" s="154"/>
      <c r="D2" s="154"/>
      <c r="E2" s="154"/>
      <c r="F2" s="154"/>
      <c r="G2" s="154"/>
      <c r="H2" s="154"/>
      <c r="I2" s="154"/>
    </row>
    <row r="3" spans="1:18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</row>
    <row r="4" spans="1:18" x14ac:dyDescent="0.25">
      <c r="A4" s="155" t="s">
        <v>81</v>
      </c>
      <c r="B4" s="155"/>
      <c r="C4" s="155"/>
      <c r="D4" s="155"/>
      <c r="E4" s="155"/>
      <c r="F4" s="155"/>
      <c r="G4" s="155"/>
      <c r="H4" s="155"/>
      <c r="I4" s="155"/>
    </row>
    <row r="5" spans="1:18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</row>
    <row r="6" spans="1:18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</row>
    <row r="7" spans="1:18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4" t="s">
        <v>35</v>
      </c>
      <c r="M7" s="139"/>
      <c r="N7" s="139"/>
      <c r="O7" s="139"/>
      <c r="P7" s="139"/>
      <c r="Q7" s="139"/>
      <c r="R7" s="139"/>
    </row>
    <row r="8" spans="1:18" s="5" customFormat="1" x14ac:dyDescent="0.2">
      <c r="A8" s="6" t="s">
        <v>8</v>
      </c>
      <c r="B8" s="7">
        <v>11694445.880000001</v>
      </c>
      <c r="C8" s="7">
        <v>11694445.880000001</v>
      </c>
      <c r="D8" s="7">
        <v>409099.08</v>
      </c>
      <c r="E8" s="7">
        <v>658040.10000000021</v>
      </c>
      <c r="F8" s="7">
        <v>0</v>
      </c>
      <c r="G8" s="7">
        <f t="shared" ref="G8:G17" si="0">SUM(E8:F8)</f>
        <v>658040.10000000021</v>
      </c>
      <c r="H8" s="7">
        <f t="shared" ref="H8:H12" si="1">C8-G8</f>
        <v>11036405.780000001</v>
      </c>
      <c r="I8" s="40">
        <f>IF(C8=0,"NA",H8/C8)</f>
        <v>0.94373054467459727</v>
      </c>
      <c r="M8" s="139"/>
      <c r="N8" s="139"/>
      <c r="O8" s="139"/>
      <c r="P8" s="139"/>
      <c r="Q8" s="139"/>
      <c r="R8" s="139"/>
    </row>
    <row r="9" spans="1:18" s="5" customFormat="1" x14ac:dyDescent="0.2">
      <c r="A9" s="6" t="s">
        <v>9</v>
      </c>
      <c r="B9" s="7">
        <v>0</v>
      </c>
      <c r="C9" s="7">
        <v>0</v>
      </c>
      <c r="D9" s="7">
        <v>9575.9699999999993</v>
      </c>
      <c r="E9" s="7">
        <v>24940.43</v>
      </c>
      <c r="F9" s="7">
        <v>0</v>
      </c>
      <c r="G9" s="7">
        <f t="shared" si="0"/>
        <v>24940.43</v>
      </c>
      <c r="H9" s="7">
        <f t="shared" si="1"/>
        <v>-24940.43</v>
      </c>
      <c r="I9" s="40" t="str">
        <f t="shared" ref="I9:I18" si="2">IF(C9=0,"NA",H9/C9)</f>
        <v>NA</v>
      </c>
      <c r="M9" s="139"/>
      <c r="N9" s="139"/>
      <c r="O9" s="139"/>
      <c r="P9" s="139"/>
      <c r="Q9" s="139"/>
      <c r="R9" s="139"/>
    </row>
    <row r="10" spans="1:18" s="5" customFormat="1" x14ac:dyDescent="0.2">
      <c r="A10" s="6" t="s">
        <v>10</v>
      </c>
      <c r="B10" s="7">
        <v>1214494</v>
      </c>
      <c r="C10" s="7">
        <v>1214494</v>
      </c>
      <c r="D10" s="7">
        <v>60627.999999999978</v>
      </c>
      <c r="E10" s="7">
        <v>383967.99999999959</v>
      </c>
      <c r="F10" s="7">
        <v>0</v>
      </c>
      <c r="G10" s="7">
        <f t="shared" si="0"/>
        <v>383967.99999999959</v>
      </c>
      <c r="H10" s="7">
        <f t="shared" si="1"/>
        <v>830526.00000000047</v>
      </c>
      <c r="I10" s="40">
        <f t="shared" si="2"/>
        <v>0.68384528865519345</v>
      </c>
      <c r="M10" s="139"/>
      <c r="N10" s="139"/>
      <c r="O10" s="139"/>
      <c r="P10" s="139"/>
      <c r="Q10" s="139"/>
      <c r="R10" s="139"/>
    </row>
    <row r="11" spans="1:18" s="5" customFormat="1" x14ac:dyDescent="0.2">
      <c r="A11" s="6" t="s">
        <v>30</v>
      </c>
      <c r="B11" s="7">
        <v>53391815.120000005</v>
      </c>
      <c r="C11" s="7">
        <v>53391815.119999997</v>
      </c>
      <c r="D11" s="7">
        <v>8668960.3500000089</v>
      </c>
      <c r="E11" s="7">
        <v>13580094.150000013</v>
      </c>
      <c r="F11" s="7">
        <v>0</v>
      </c>
      <c r="G11" s="7">
        <f t="shared" si="0"/>
        <v>13580094.150000013</v>
      </c>
      <c r="H11" s="7">
        <f t="shared" si="1"/>
        <v>39811720.969999984</v>
      </c>
      <c r="I11" s="40">
        <f t="shared" si="2"/>
        <v>0.74565213564142241</v>
      </c>
      <c r="M11" s="139"/>
      <c r="N11" s="139"/>
      <c r="O11" s="139"/>
      <c r="P11" s="139"/>
      <c r="Q11" s="139"/>
      <c r="R11" s="139"/>
    </row>
    <row r="12" spans="1:18" s="5" customFormat="1" x14ac:dyDescent="0.2">
      <c r="A12" s="8" t="s">
        <v>11</v>
      </c>
      <c r="B12" s="7">
        <v>2800000</v>
      </c>
      <c r="C12" s="7">
        <v>2800000</v>
      </c>
      <c r="D12" s="7">
        <v>0</v>
      </c>
      <c r="E12" s="7">
        <v>0</v>
      </c>
      <c r="F12" s="7">
        <v>0</v>
      </c>
      <c r="G12" s="7">
        <f t="shared" si="0"/>
        <v>0</v>
      </c>
      <c r="H12" s="7">
        <f t="shared" si="1"/>
        <v>2800000</v>
      </c>
      <c r="I12" s="40">
        <f t="shared" si="2"/>
        <v>1</v>
      </c>
      <c r="M12" s="139"/>
      <c r="N12" s="139"/>
      <c r="O12" s="139"/>
      <c r="P12" s="139"/>
      <c r="Q12" s="139"/>
      <c r="R12" s="139"/>
    </row>
    <row r="13" spans="1:18" s="5" customFormat="1" ht="24.95" customHeight="1" x14ac:dyDescent="0.2">
      <c r="A13" s="10" t="s">
        <v>12</v>
      </c>
      <c r="B13" s="11">
        <f>SUM(B8:B12)</f>
        <v>69100755</v>
      </c>
      <c r="C13" s="11">
        <f t="shared" ref="C13:H13" si="3">SUM(C8:C12)</f>
        <v>69100755</v>
      </c>
      <c r="D13" s="11">
        <f t="shared" si="3"/>
        <v>9148263.4000000097</v>
      </c>
      <c r="E13" s="11">
        <f t="shared" si="3"/>
        <v>14647042.680000013</v>
      </c>
      <c r="F13" s="11">
        <f t="shared" si="3"/>
        <v>0</v>
      </c>
      <c r="G13" s="11">
        <f t="shared" si="3"/>
        <v>14647042.680000013</v>
      </c>
      <c r="H13" s="11">
        <f t="shared" si="3"/>
        <v>54453712.319999985</v>
      </c>
      <c r="I13" s="37">
        <f t="shared" si="2"/>
        <v>0.78803353624717976</v>
      </c>
      <c r="M13" s="139"/>
      <c r="N13" s="139"/>
      <c r="O13" s="139"/>
      <c r="P13" s="139"/>
      <c r="Q13" s="139"/>
      <c r="R13" s="139"/>
    </row>
    <row r="14" spans="1:18" s="5" customFormat="1" x14ac:dyDescent="0.2">
      <c r="A14" s="6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si="0"/>
        <v>0</v>
      </c>
      <c r="H14" s="7">
        <f t="shared" ref="H14:H17" si="4">C14-G14</f>
        <v>0</v>
      </c>
      <c r="I14" s="40" t="str">
        <f t="shared" si="2"/>
        <v>NA</v>
      </c>
      <c r="M14" s="139"/>
      <c r="N14" s="139"/>
      <c r="O14" s="139"/>
      <c r="P14" s="139"/>
      <c r="Q14" s="139"/>
      <c r="R14" s="139"/>
    </row>
    <row r="15" spans="1:18" s="5" customFormat="1" x14ac:dyDescent="0.2">
      <c r="A15" s="6" t="s">
        <v>20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si="4"/>
        <v>0</v>
      </c>
      <c r="I15" s="40" t="str">
        <f t="shared" si="2"/>
        <v>NA</v>
      </c>
      <c r="M15" s="139"/>
      <c r="N15" s="139"/>
      <c r="O15" s="139"/>
      <c r="P15" s="139"/>
      <c r="Q15" s="139"/>
      <c r="R15" s="139"/>
    </row>
    <row r="16" spans="1:18" s="5" customFormat="1" x14ac:dyDescent="0.25">
      <c r="A16" s="6" t="s">
        <v>31</v>
      </c>
      <c r="B16" s="7">
        <v>68785786.969999984</v>
      </c>
      <c r="C16" s="7">
        <v>68785786.969999984</v>
      </c>
      <c r="D16" s="7">
        <v>4948510.360000005</v>
      </c>
      <c r="E16" s="7">
        <v>8819134.8300000001</v>
      </c>
      <c r="F16" s="7">
        <v>10453012.550000001</v>
      </c>
      <c r="G16" s="7">
        <f t="shared" si="0"/>
        <v>19272147.380000003</v>
      </c>
      <c r="H16" s="7">
        <f t="shared" si="4"/>
        <v>49513639.589999981</v>
      </c>
      <c r="I16" s="40">
        <f t="shared" si="2"/>
        <v>0.71982369863115336</v>
      </c>
      <c r="L16" s="1"/>
      <c r="M16" s="138"/>
      <c r="N16" s="138"/>
      <c r="O16" s="138"/>
      <c r="P16" s="138"/>
      <c r="Q16" s="138"/>
      <c r="R16" s="138"/>
    </row>
    <row r="17" spans="1:20" s="5" customFormat="1" x14ac:dyDescent="0.25">
      <c r="A17" s="6" t="s">
        <v>26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4"/>
        <v>0</v>
      </c>
      <c r="I17" s="40" t="str">
        <f t="shared" si="2"/>
        <v>NA</v>
      </c>
      <c r="L17" s="1"/>
      <c r="M17" s="138"/>
      <c r="N17" s="138"/>
      <c r="O17" s="138"/>
      <c r="P17" s="138"/>
      <c r="Q17" s="138"/>
      <c r="R17" s="138"/>
    </row>
    <row r="18" spans="1:20" s="5" customFormat="1" ht="24.95" customHeight="1" x14ac:dyDescent="0.25">
      <c r="A18" s="10" t="s">
        <v>27</v>
      </c>
      <c r="B18" s="11">
        <f>SUM(B14:B17)</f>
        <v>68785786.969999984</v>
      </c>
      <c r="C18" s="11">
        <f t="shared" ref="C18:G18" si="5">SUM(C14:C17)</f>
        <v>68785786.969999984</v>
      </c>
      <c r="D18" s="11">
        <f t="shared" si="5"/>
        <v>4948510.360000005</v>
      </c>
      <c r="E18" s="11">
        <f t="shared" si="5"/>
        <v>8819134.8300000001</v>
      </c>
      <c r="F18" s="11">
        <f t="shared" si="5"/>
        <v>10453012.550000001</v>
      </c>
      <c r="G18" s="11">
        <f t="shared" si="5"/>
        <v>19272147.380000003</v>
      </c>
      <c r="H18" s="11">
        <f t="shared" ref="H18" si="6">SUM(H14:H17)</f>
        <v>49513639.589999981</v>
      </c>
      <c r="I18" s="37">
        <f t="shared" si="2"/>
        <v>0.71982369863115336</v>
      </c>
      <c r="L18" s="1"/>
      <c r="M18" s="138"/>
      <c r="N18" s="138"/>
      <c r="O18" s="138"/>
      <c r="P18" s="138"/>
      <c r="Q18" s="138"/>
      <c r="R18" s="138"/>
      <c r="S18" s="1"/>
    </row>
    <row r="19" spans="1:20" s="5" customFormat="1" x14ac:dyDescent="0.25">
      <c r="A19" s="13"/>
      <c r="B19" s="14"/>
      <c r="C19" s="14"/>
      <c r="D19" s="14"/>
      <c r="E19" s="14"/>
      <c r="F19" s="14"/>
      <c r="G19" s="14"/>
      <c r="H19" s="14"/>
      <c r="I19" s="16"/>
      <c r="L19" s="1"/>
      <c r="M19" s="138"/>
      <c r="N19" s="138"/>
      <c r="O19" s="138"/>
      <c r="P19" s="138"/>
      <c r="Q19" s="138"/>
      <c r="R19" s="138"/>
      <c r="S19" s="1"/>
    </row>
    <row r="20" spans="1:20" s="5" customFormat="1" x14ac:dyDescent="0.25">
      <c r="A20" s="6" t="s">
        <v>28</v>
      </c>
      <c r="B20" s="7">
        <f>B13-B18</f>
        <v>314968.03000001609</v>
      </c>
      <c r="C20" s="7">
        <f>C13-C18</f>
        <v>314968.03000001609</v>
      </c>
      <c r="D20" s="7">
        <f>D13-D18</f>
        <v>4199753.0400000047</v>
      </c>
      <c r="E20" s="7">
        <f>E13-E18</f>
        <v>5827907.8500000127</v>
      </c>
      <c r="F20" s="7"/>
      <c r="G20" s="7">
        <f>G13-G18</f>
        <v>-4625104.6999999899</v>
      </c>
      <c r="H20" s="7">
        <f>H13-H18</f>
        <v>4940072.7300000042</v>
      </c>
      <c r="I20" s="17"/>
      <c r="L20" s="1"/>
      <c r="M20" s="138"/>
      <c r="N20" s="138"/>
      <c r="O20" s="138"/>
      <c r="P20" s="138"/>
      <c r="Q20" s="138"/>
      <c r="R20" s="138"/>
      <c r="S20" s="1"/>
    </row>
    <row r="21" spans="1:20" s="5" customFormat="1" x14ac:dyDescent="0.25">
      <c r="A21" s="8"/>
      <c r="B21" s="9"/>
      <c r="C21" s="9"/>
      <c r="D21" s="9"/>
      <c r="E21" s="9"/>
      <c r="F21" s="9"/>
      <c r="G21" s="9"/>
      <c r="H21" s="9"/>
      <c r="I21" s="18"/>
      <c r="L21" s="1"/>
      <c r="M21" s="138"/>
      <c r="N21" s="138"/>
      <c r="O21" s="138"/>
      <c r="P21" s="138"/>
      <c r="Q21" s="138"/>
      <c r="R21" s="138"/>
      <c r="S21" s="1"/>
      <c r="T21" s="1"/>
    </row>
    <row r="22" spans="1:20" s="5" customFormat="1" x14ac:dyDescent="0.25">
      <c r="A22" s="19" t="s">
        <v>78</v>
      </c>
      <c r="B22" s="21"/>
      <c r="C22" s="21"/>
      <c r="D22" s="21"/>
      <c r="E22" s="21">
        <v>18476000</v>
      </c>
      <c r="F22" s="21"/>
      <c r="G22" s="21">
        <f>E22</f>
        <v>18476000</v>
      </c>
      <c r="H22" s="21"/>
      <c r="I22" s="22"/>
      <c r="L22" s="1"/>
      <c r="M22" s="1"/>
      <c r="N22" s="1"/>
      <c r="O22" s="1"/>
      <c r="P22" s="1"/>
      <c r="Q22" s="1"/>
      <c r="R22" s="1"/>
      <c r="S22" s="1"/>
      <c r="T22" s="1"/>
    </row>
    <row r="23" spans="1:20" s="5" customFormat="1" ht="24.95" customHeight="1" thickBot="1" x14ac:dyDescent="0.3">
      <c r="A23" s="23" t="s">
        <v>29</v>
      </c>
      <c r="B23" s="25"/>
      <c r="C23" s="25"/>
      <c r="D23" s="25"/>
      <c r="E23" s="25">
        <f>SUM(E20:E22)</f>
        <v>24303907.850000013</v>
      </c>
      <c r="F23" s="25"/>
      <c r="G23" s="25">
        <f>SUM(G20:G22)</f>
        <v>13850895.30000001</v>
      </c>
      <c r="H23" s="25"/>
      <c r="I23" s="26"/>
      <c r="L23" s="1"/>
      <c r="M23" s="1"/>
      <c r="N23" s="1"/>
      <c r="O23" s="1"/>
      <c r="P23" s="1"/>
      <c r="Q23" s="1"/>
      <c r="R23" s="1"/>
      <c r="S23" s="1"/>
      <c r="T23" s="1"/>
    </row>
    <row r="24" spans="1:20" s="5" customFormat="1" x14ac:dyDescent="0.25">
      <c r="A24" s="32"/>
      <c r="B24" s="34"/>
      <c r="C24" s="34"/>
      <c r="D24" s="34"/>
      <c r="E24" s="34"/>
      <c r="F24" s="34"/>
      <c r="G24" s="34"/>
      <c r="H24" s="34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s="5" customFormat="1" x14ac:dyDescent="0.25">
      <c r="B25" s="31"/>
      <c r="C25" s="31"/>
      <c r="D25" s="31"/>
      <c r="E25" s="31"/>
      <c r="F25" s="31"/>
      <c r="G25" s="31"/>
      <c r="H25" s="31"/>
      <c r="I25" s="14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s="5" customFormat="1" x14ac:dyDescent="0.25">
      <c r="A26" s="1"/>
      <c r="B26" s="31"/>
      <c r="C26" s="31"/>
      <c r="D26" s="31"/>
      <c r="E26" s="31"/>
      <c r="F26" s="31"/>
      <c r="G26" s="31"/>
      <c r="H26" s="31"/>
      <c r="I26" s="31"/>
      <c r="J26" s="3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J27" s="31"/>
    </row>
    <row r="28" spans="1:20" x14ac:dyDescent="0.25">
      <c r="I28" s="31"/>
      <c r="J28" s="31"/>
    </row>
    <row r="29" spans="1:20" x14ac:dyDescent="0.25">
      <c r="I29" s="31"/>
      <c r="J29" s="31"/>
    </row>
    <row r="31" spans="1:20" x14ac:dyDescent="0.25">
      <c r="I31" s="31"/>
      <c r="J31" s="31"/>
    </row>
    <row r="32" spans="1:20" x14ac:dyDescent="0.25">
      <c r="I32" s="31"/>
      <c r="J32" s="3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2" ma:contentTypeDescription="Create a new document." ma:contentTypeScope="" ma:versionID="599983a963579dda24d3a5f7d31e787c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07fade7bdb0859b166abd4daf62e53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6DB22D-BE67-457D-8D8E-A45D5D555E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125589-3B97-4A8E-BFB5-F8CAEDF79A9D}">
  <ds:schemaRefs>
    <ds:schemaRef ds:uri="http://schemas.openxmlformats.org/package/2006/metadata/core-properties"/>
    <ds:schemaRef ds:uri="http://schemas.microsoft.com/office/2006/documentManagement/types"/>
    <ds:schemaRef ds:uri="fd92ff4e-e524-4e6b-bcac-5c88d6f646ba"/>
    <ds:schemaRef ds:uri="http://schemas.microsoft.com/office/infopath/2007/PartnerControls"/>
    <ds:schemaRef ds:uri="http://schemas.microsoft.com/office/2006/metadata/properties"/>
    <ds:schemaRef ds:uri="http://purl.org/dc/terms/"/>
    <ds:schemaRef ds:uri="edc4a2e3-56ec-4fd2-a9db-893721e9ab6c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AC6B6A4-F3BF-426F-946D-49CEBD3D7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GENERAL FUND</vt:lpstr>
      <vt:lpstr>DATA for CHARTS (2023)</vt:lpstr>
      <vt:lpstr>SPECIAL REVENUE</vt:lpstr>
      <vt:lpstr>DEBT SERVICE</vt:lpstr>
      <vt:lpstr>CAPITAL PROJECTS</vt:lpstr>
      <vt:lpstr>SCHOOL NUTRITION</vt:lpstr>
      <vt:lpstr>Budget vs Actual (2023)</vt:lpstr>
      <vt:lpstr>YTD EXPENDITURES by FUNCTION</vt:lpstr>
      <vt:lpstr>YTD EXPENDITURES by FUNCTIO (2</vt:lpstr>
      <vt:lpstr>DCSD Revenue Budget vs Actual</vt:lpstr>
      <vt:lpstr>'GENERAL FUND'!Print_Area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Copeland</dc:creator>
  <cp:lastModifiedBy>Dan Copeland</cp:lastModifiedBy>
  <cp:lastPrinted>2022-10-19T17:55:06Z</cp:lastPrinted>
  <dcterms:created xsi:type="dcterms:W3CDTF">2020-01-29T12:55:36Z</dcterms:created>
  <dcterms:modified xsi:type="dcterms:W3CDTF">2022-10-19T17:55:38Z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