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10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H14" i="4" s="1"/>
  <c r="I14" i="4" s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9" i="4" l="1"/>
  <c r="G18" i="4"/>
  <c r="G17" i="4"/>
  <c r="G16" i="4"/>
  <c r="G15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C12" i="4" l="1"/>
  <c r="D12" i="4"/>
  <c r="E12" i="4"/>
  <c r="F12" i="4"/>
  <c r="B12" i="4"/>
  <c r="H15" i="4"/>
  <c r="I15" i="4" s="1"/>
  <c r="E16" i="10"/>
  <c r="T16" i="10" s="1"/>
  <c r="E13" i="10"/>
  <c r="T13" i="10" s="1"/>
  <c r="I11" i="3"/>
  <c r="G11" i="3"/>
  <c r="H11" i="3" s="1"/>
  <c r="G9" i="3"/>
  <c r="H9" i="3" s="1"/>
  <c r="I9" i="3" s="1"/>
  <c r="I8" i="3"/>
  <c r="G8" i="3"/>
  <c r="H8" i="3" s="1"/>
  <c r="G12" i="3"/>
  <c r="H12" i="3" s="1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C43" i="10"/>
  <c r="T43" i="10" s="1"/>
  <c r="C42" i="10"/>
  <c r="T42" i="10" s="1"/>
  <c r="C41" i="10"/>
  <c r="T41" i="10" s="1"/>
  <c r="C40" i="10"/>
  <c r="T40" i="10" s="1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4" i="4"/>
  <c r="G17" i="3"/>
  <c r="G36" i="2"/>
  <c r="G33" i="1"/>
  <c r="C18" i="5"/>
  <c r="D18" i="5"/>
  <c r="E18" i="5"/>
  <c r="F18" i="5"/>
  <c r="B18" i="5"/>
  <c r="B20" i="4"/>
  <c r="C20" i="4"/>
  <c r="D20" i="4"/>
  <c r="E20" i="4"/>
  <c r="F20" i="4"/>
  <c r="G29" i="2"/>
  <c r="H29" i="2" s="1"/>
  <c r="I29" i="2" s="1"/>
  <c r="H16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8" i="4"/>
  <c r="I18" i="4" s="1"/>
  <c r="H19" i="4"/>
  <c r="I19" i="4" s="1"/>
  <c r="H17" i="4"/>
  <c r="I17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H12" i="2" s="1"/>
  <c r="I12" i="2" s="1"/>
  <c r="G11" i="2"/>
  <c r="H11" i="2" s="1"/>
  <c r="I11" i="2" s="1"/>
  <c r="G10" i="2"/>
  <c r="H10" i="2" s="1"/>
  <c r="I10" i="2" s="1"/>
  <c r="G9" i="2"/>
  <c r="H9" i="2" s="1"/>
  <c r="I9" i="2" s="1"/>
  <c r="G8" i="2"/>
  <c r="E48" i="10" l="1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2" i="4"/>
  <c r="D34" i="2"/>
  <c r="C34" i="2"/>
  <c r="B31" i="1"/>
  <c r="E15" i="3"/>
  <c r="E18" i="3" s="1"/>
  <c r="D15" i="3"/>
  <c r="B34" i="2"/>
  <c r="D31" i="1"/>
  <c r="C31" i="1"/>
  <c r="G12" i="1"/>
  <c r="G13" i="5"/>
  <c r="B22" i="4"/>
  <c r="H18" i="5"/>
  <c r="I18" i="5" s="1"/>
  <c r="G18" i="5"/>
  <c r="G12" i="4"/>
  <c r="E22" i="4"/>
  <c r="E25" i="4" s="1"/>
  <c r="D22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0" i="4"/>
  <c r="I20" i="4" s="1"/>
  <c r="C46" i="10"/>
  <c r="F51" i="10"/>
  <c r="G20" i="4"/>
  <c r="G25" i="10"/>
  <c r="C44" i="10"/>
  <c r="D44" i="10" s="1"/>
  <c r="H8" i="2"/>
  <c r="I25" i="10"/>
  <c r="K25" i="10"/>
  <c r="E53" i="10" l="1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2" i="4"/>
  <c r="G25" i="4" s="1"/>
  <c r="H13" i="2"/>
  <c r="I8" i="2"/>
  <c r="H20" i="5"/>
  <c r="I13" i="5"/>
  <c r="G51" i="10"/>
  <c r="F53" i="10"/>
  <c r="D46" i="10"/>
  <c r="B55" i="10" s="1"/>
  <c r="I12" i="4"/>
  <c r="H22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<sst xmlns="http://schemas.openxmlformats.org/spreadsheetml/2006/main" count="266" uniqueCount="84">
  <si>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</si>
  <si>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</si>
  <si>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</si>
  <si>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</si>
  <si>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</si>
  <si>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</si>
  <si>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</si>
  <si>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</si>
  <si>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</si>
  <si>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</si>
  <si>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</si>
  <si>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</si>
  <si>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</si>
  <si>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</si>
  <si>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</si>
  <si>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</si>
  <si>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</si>
  <si>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</si>
  <si>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</si>
  <si>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</si>
  <si>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</si>
  <si>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</si>
  <si>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</si>
  <si>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</si>
  <si>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</si>
  <si>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</si>
  <si>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</si>
  <si>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</si>
  <si>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</si>
  <si>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</si>
  <si>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</si>
  <si>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</si>
  <si>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</si>
  <si>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</si>
  <si>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</si>
  <si>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</si>
  <si>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</si>
  <si>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</si>
  <si>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</si>
  <si>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</si>
  <si>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</si>
  <si>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</si>
  <si>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</si>
  <si>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</si>
  <si>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</si>
  <si>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</si>
  <si>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</si>
  <si>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</si>
  <si>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</si>
  <si>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</si>
  <si>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</si>
  <si>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</si>
  <si>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</si>
  <si>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</si>
  <si>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</si>
  <si>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</si>
  <si>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</si>
  <si>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</si>
  <si>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</si>
  <si>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</si>
  <si>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</si>
  <si>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</si>
  <si>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</si>
  <si>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</si>
  <si>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</si>
  <si>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</si>
  <si>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</si>
  <si>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</si>
  <si>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</si>
  <si>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</si>
  <si>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</si>
  <si>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</si>
  <si>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</si>
  <si>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</si>
  <si>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</si>
  <si>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</si>
  <si>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</si>
  <si>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</si>
  <si>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</si>
  <si>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</si>
  <si>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</si>
  <si>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TOTAL GENERAL OPERATIONS BUDGET
$1,325,307,102</t>
  </si>
  <si>
    <t>GENERAL OPERATIONS YTD EXPENSES
$303,419,097</t>
  </si>
  <si>
    <t>(LOCAL &amp; OTHER)  Budgeted: $801,993,141  Actual: $432,443,748  53.92%
(STATE)  Budgeted: $503,516,460  Actual: $108,450,509   21.54%
TOTAL Budgeted: $1,305,509,601  Actual: $540,894,258   41.43%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</si>
</sst>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"/>
    <numFmt numFmtId="165" formatCode="#,##0.000000_);[Red]\(#,##0.000000\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165" fontId="6" fillId="0" borderId="0" xfId="2" applyNumberFormat="1">
      <alignment vertical="top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0" borderId="0" xfId="2" applyNumberFormat="1" applyFill="1">
      <alignment vertical="top"/>
    </xf>
    <xf numFmtId="165" fontId="11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1021888004.8199992</c:v>
                </c:pt>
                <c:pt idx="1">
                  <c:v>303419097.08000088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92535664585551"/>
          <c:y val="0.27041085081756083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7.0395543586138989E-2"/>
                  <c:y val="-0.1177647716461394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4.77891417033251E-2"/>
                  <c:y val="-0.1380824717079617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5089915415536965E-3"/>
                  <c:y val="-5.781000929185692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349381477766633E-3"/>
                  <c:y val="2.09770887242761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8081936097004927E-2"/>
                  <c:y val="3.60324141428724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8.1199609326667574E-2"/>
                  <c:y val="1.47382917050741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5798945392608368E-2"/>
                  <c:y val="4.41175882633852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4.4970660011530557E-2"/>
                  <c:y val="8.686886635644451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7873489234106525E-2"/>
                  <c:y val="9.06248496088891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1238913591167199E-2"/>
                  <c:y val="-9.68589081512906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163386506.75000128</c:v>
                </c:pt>
                <c:pt idx="1">
                  <c:v>15720962.319999913</c:v>
                </c:pt>
                <c:pt idx="2">
                  <c:v>5033499.33</c:v>
                </c:pt>
                <c:pt idx="3">
                  <c:v>1165.8999999999999</c:v>
                </c:pt>
                <c:pt idx="4">
                  <c:v>2410336.4900000067</c:v>
                </c:pt>
                <c:pt idx="5">
                  <c:v>27039463.669999994</c:v>
                </c:pt>
                <c:pt idx="6">
                  <c:v>22205119.369999714</c:v>
                </c:pt>
                <c:pt idx="7">
                  <c:v>5543271.0600000005</c:v>
                </c:pt>
                <c:pt idx="8">
                  <c:v>38876794.149999954</c:v>
                </c:pt>
                <c:pt idx="9">
                  <c:v>13907146.990000002</c:v>
                </c:pt>
                <c:pt idx="10">
                  <c:v>9031691.0600000024</c:v>
                </c:pt>
                <c:pt idx="11">
                  <c:v>262719.99</c:v>
                </c:pt>
                <c:pt idx="12">
                  <c:v>0</c:v>
                </c:pt>
                <c:pt idx="13">
                  <c:v>420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$303,419,097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163386506.75000128</c:v>
                </c:pt>
                <c:pt idx="1">
                  <c:v>15720962.319999913</c:v>
                </c:pt>
                <c:pt idx="2">
                  <c:v>5033499.33</c:v>
                </c:pt>
                <c:pt idx="3">
                  <c:v>1165.8999999999999</c:v>
                </c:pt>
                <c:pt idx="4">
                  <c:v>2410336.4900000067</c:v>
                </c:pt>
                <c:pt idx="5">
                  <c:v>27039463.669999994</c:v>
                </c:pt>
                <c:pt idx="6">
                  <c:v>22205119.369999714</c:v>
                </c:pt>
                <c:pt idx="7">
                  <c:v>5543271.0600000005</c:v>
                </c:pt>
                <c:pt idx="8">
                  <c:v>38876794.149999954</c:v>
                </c:pt>
                <c:pt idx="9">
                  <c:v>13907146.990000002</c:v>
                </c:pt>
                <c:pt idx="10">
                  <c:v>9031691.0600000024</c:v>
                </c:pt>
                <c:pt idx="11">
                  <c:v>262719.99</c:v>
                </c:pt>
                <c:pt idx="12">
                  <c:v>0</c:v>
                </c:pt>
                <c:pt idx="13">
                  <c:v>420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6954040"/>
        <c:axId val="1196957176"/>
      </c:barChart>
      <c:valAx>
        <c:axId val="1196957176"/>
        <c:scaling>
          <c:orientation val="minMax"/>
          <c:max val="2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5404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196954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57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800454885.07000005</c:v>
                </c:pt>
                <c:pt idx="1">
                  <c:v>90000</c:v>
                </c:pt>
                <c:pt idx="2">
                  <c:v>503516459.86999995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431128887.53999996</c:v>
                </c:pt>
                <c:pt idx="1">
                  <c:v>1305059.69</c:v>
                </c:pt>
                <c:pt idx="2">
                  <c:v>108450509.27000001</c:v>
                </c:pt>
                <c:pt idx="3">
                  <c:v>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$801,993,141  Actual: $432,443,748  53.92%
(STATE)  Budgeted: $503,516,460  Actual: $108,450,509   21.54%
TOTAL Budgeted: $1,305,509,601  Actual: $540,894,258   41.43%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$801,993,141  Actual: $432,443,748  53.92%
(STATE)  Budgeted: $503,516,460  Actual: $108,450,509   21.54%
TOTAL Budgeted: $1,305,509,601  Actual: $540,894,258   41.43%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953648"/>
        <c:axId val="94748386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$432,443,748  53.92%
(STATE)  Budgeted: $503,516,460  Actual: $108,450,509   21.54%
TOTAL Budgeted: $1,305,509,601  Actual: $540,894,258   41.43%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$432,443,748  53.92%
(STATE)  Budgeted: $503,516,460  Actual: $108,450,509   21.54%
TOTAL Budgeted: $1,305,509,601  Actual: $540,894,258   41.43%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$432,443,748  53.92%
(STATE)  Budgeted: $503,516,460  Actual: $108,450,509   21.54%
TOTAL Budgeted: $1,305,509,601  Actual: $540,894,258   41.43%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$432,443,748  53.92%
(STATE)  Budgeted: $503,516,460  Actual: $108,450,509   21.54%
TOTAL Budgeted: $1,305,509,601  Actual: $540,894,258   41.43%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119695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483864"/>
        <c:crosses val="autoZero"/>
        <c:auto val="1"/>
        <c:lblAlgn val="ctr"/>
        <c:lblOffset val="500"/>
        <c:noMultiLvlLbl val="0"/>
      </c:catAx>
      <c:valAx>
        <c:axId val="94748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5364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$1,325,307,102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$303,419,097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$303,419,097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573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$801,993,141  Actual: $432,443,748  53.92%</a:t>
          </a:r>
        </a:p>
        <a:p xmlns:a="http://schemas.openxmlformats.org/drawingml/2006/main">
          <a:pPr algn="ctr"/>
          <a:r>
            <a:rPr lang="en-US" sz="1100"/>
            <a:t>(STATE)  Budgeted: $503,516,460  Actual: $108,450,509   21.54%</a:t>
          </a:r>
        </a:p>
        <a:p xmlns:a="http://schemas.openxmlformats.org/drawingml/2006/main">
          <a:pPr algn="ctr"/>
          <a:r>
            <a:rPr lang="en-US" sz="1100"/>
            <a:t>TOTAL Budgeted: $1,305,509,601  Actual: $540,894,258   41.43%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8" bestFit="1" customWidth="1"/>
    <col min="17" max="17" width="13.5703125" style="138" bestFit="1" customWidth="1"/>
    <col min="18" max="16384" width="9.140625" style="1"/>
  </cols>
  <sheetData>
    <row r="1" spans="1:17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9"/>
      <c r="M1" s="139"/>
      <c r="N1" s="139"/>
      <c r="O1" s="139"/>
      <c r="P1" s="139"/>
    </row>
    <row r="2" spans="1:17" ht="18.75" x14ac:dyDescent="0.3">
      <c r="A2" s="154" t="s">
        <v>72</v>
      </c>
      <c r="B2" s="154"/>
      <c r="C2" s="154"/>
      <c r="D2" s="154"/>
      <c r="E2" s="154"/>
      <c r="F2" s="154"/>
      <c r="G2" s="154"/>
      <c r="H2" s="154"/>
      <c r="I2" s="154"/>
      <c r="L2" s="139"/>
      <c r="M2" s="139"/>
      <c r="N2" s="139"/>
      <c r="O2" s="139"/>
      <c r="P2" s="139"/>
    </row>
    <row r="3" spans="1:17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9"/>
      <c r="M3" s="139"/>
      <c r="N3" s="139"/>
      <c r="O3" s="139"/>
      <c r="P3" s="139"/>
    </row>
    <row r="4" spans="1:17" x14ac:dyDescent="0.25">
      <c r="A4" s="155">
        <v>44865</v>
      </c>
      <c r="B4" s="155"/>
      <c r="C4" s="155"/>
      <c r="D4" s="155"/>
      <c r="E4" s="155"/>
      <c r="F4" s="155"/>
      <c r="G4" s="155"/>
      <c r="H4" s="155"/>
      <c r="I4" s="155"/>
      <c r="L4" s="139"/>
      <c r="M4" s="139"/>
      <c r="N4" s="139"/>
      <c r="O4" s="139"/>
      <c r="P4" s="139"/>
    </row>
    <row r="5" spans="1:17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9"/>
      <c r="M5" s="139"/>
      <c r="N5" s="139"/>
      <c r="O5" s="139"/>
      <c r="P5" s="139"/>
    </row>
    <row r="6" spans="1:17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9"/>
      <c r="M6" s="139"/>
      <c r="N6" s="139"/>
      <c r="O6" s="139"/>
      <c r="P6" s="139"/>
    </row>
    <row r="7" spans="1:17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  <c r="Q7" s="139"/>
    </row>
    <row r="8" spans="1:17" s="5" customFormat="1" x14ac:dyDescent="0.2">
      <c r="A8" s="6" t="s">
        <v>8</v>
      </c>
      <c r="B8" s="7">
        <v>800446262.68000007</v>
      </c>
      <c r="C8" s="7">
        <v>800454885.07000005</v>
      </c>
      <c r="D8" s="7">
        <v>175157418.03</v>
      </c>
      <c r="E8" s="7">
        <v>431128887.54000002</v>
      </c>
      <c r="F8" s="7">
        <v>0</v>
      </c>
      <c r="G8" s="7">
        <f t="shared" ref="G8:G28" si="0">SUM(E8:F8)</f>
        <v>431128887.54000002</v>
      </c>
      <c r="H8" s="7">
        <f t="shared" ref="H8:H11" si="1">C8-G8</f>
        <v>369325997.53000003</v>
      </c>
      <c r="I8" s="36">
        <f>IF(C8=0,"NA",H8/C8)</f>
        <v>0.46139514470912668</v>
      </c>
      <c r="L8" s="139"/>
      <c r="M8" s="139"/>
      <c r="N8" s="139"/>
      <c r="O8" s="139"/>
      <c r="P8" s="139"/>
      <c r="Q8" s="139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614426.56999999995</v>
      </c>
      <c r="E9" s="7">
        <v>1305059.69</v>
      </c>
      <c r="F9" s="7">
        <v>0</v>
      </c>
      <c r="G9" s="7">
        <f>SUM(E9:F9)</f>
        <v>1305059.69</v>
      </c>
      <c r="H9" s="7">
        <f>C9-G9</f>
        <v>-1215059.69</v>
      </c>
      <c r="I9" s="36">
        <f t="shared" ref="I9:I28" si="2">IF(C9=0,"NA",H9/C9)</f>
        <v>-13.500663222222222</v>
      </c>
      <c r="L9" s="139"/>
      <c r="M9" s="139"/>
      <c r="N9" s="139"/>
      <c r="O9" s="139"/>
      <c r="P9" s="139"/>
      <c r="Q9" s="139"/>
    </row>
    <row r="10" spans="1:17" s="5" customFormat="1" x14ac:dyDescent="0.2">
      <c r="A10" s="6" t="s">
        <v>10</v>
      </c>
      <c r="B10" s="7">
        <v>503214959.76999992</v>
      </c>
      <c r="C10" s="7">
        <v>503516459.86999995</v>
      </c>
      <c r="D10" s="7">
        <v>48732788</v>
      </c>
      <c r="E10" s="7">
        <v>108450509.27000001</v>
      </c>
      <c r="F10" s="7">
        <v>0</v>
      </c>
      <c r="G10" s="7">
        <f t="shared" si="0"/>
        <v>108450509.27000001</v>
      </c>
      <c r="H10" s="7">
        <f t="shared" si="1"/>
        <v>395065950.5999999</v>
      </c>
      <c r="I10" s="36">
        <f t="shared" si="2"/>
        <v>0.78461377549007982</v>
      </c>
      <c r="L10" s="139"/>
      <c r="M10" s="139"/>
      <c r="N10" s="139"/>
      <c r="O10" s="139"/>
      <c r="P10" s="139"/>
      <c r="Q10" s="139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9801</v>
      </c>
      <c r="F11" s="7">
        <v>0</v>
      </c>
      <c r="G11" s="7">
        <f t="shared" si="0"/>
        <v>9801</v>
      </c>
      <c r="H11" s="7">
        <f t="shared" si="1"/>
        <v>1438455</v>
      </c>
      <c r="I11" s="36">
        <f t="shared" si="2"/>
        <v>0.99323255004640065</v>
      </c>
      <c r="L11" s="139"/>
      <c r="M11" s="139"/>
      <c r="N11" s="139"/>
      <c r="O11" s="139"/>
      <c r="P11" s="139"/>
      <c r="Q11" s="139"/>
    </row>
    <row r="12" spans="1:17" s="5" customFormat="1" x14ac:dyDescent="0.25">
      <c r="A12" s="10" t="s">
        <v>12</v>
      </c>
      <c r="B12" s="11">
        <f t="shared" ref="B12:H12" si="3">SUM(B8:B11)</f>
        <v>1305199478.45</v>
      </c>
      <c r="C12" s="11">
        <f t="shared" si="3"/>
        <v>1305509600.9400001</v>
      </c>
      <c r="D12" s="11">
        <f t="shared" si="3"/>
        <v>224504632.59999999</v>
      </c>
      <c r="E12" s="11">
        <f t="shared" si="3"/>
        <v>540894257.5</v>
      </c>
      <c r="F12" s="11">
        <f t="shared" si="3"/>
        <v>0</v>
      </c>
      <c r="G12" s="11">
        <f t="shared" si="3"/>
        <v>540894257.5</v>
      </c>
      <c r="H12" s="11">
        <f t="shared" si="3"/>
        <v>764615343.43999994</v>
      </c>
      <c r="I12" s="37">
        <f t="shared" si="2"/>
        <v>0.58568343188702521</v>
      </c>
      <c r="L12" s="138"/>
      <c r="M12" s="138"/>
      <c r="N12" s="138"/>
      <c r="O12" s="138"/>
      <c r="P12" s="138"/>
      <c r="Q12" s="139"/>
    </row>
    <row r="13" spans="1:17" s="5" customFormat="1" x14ac:dyDescent="0.25">
      <c r="A13" s="13" t="s">
        <v>13</v>
      </c>
      <c r="B13" s="14">
        <v>706178587.05000031</v>
      </c>
      <c r="C13" s="14">
        <v>706776735.92000031</v>
      </c>
      <c r="D13" s="14">
        <v>71835021.210001454</v>
      </c>
      <c r="E13" s="14">
        <v>163386506.75000125</v>
      </c>
      <c r="F13" s="14">
        <v>15094205.160000011</v>
      </c>
      <c r="G13" s="14">
        <f t="shared" si="0"/>
        <v>178480711.91000128</v>
      </c>
      <c r="H13" s="14">
        <f t="shared" ref="H13:H28" si="4">C13-G13</f>
        <v>528296024.00999904</v>
      </c>
      <c r="I13" s="36">
        <f t="shared" si="2"/>
        <v>0.74747228815097355</v>
      </c>
      <c r="L13" s="138"/>
      <c r="M13" s="138"/>
      <c r="N13" s="138"/>
      <c r="O13" s="138"/>
      <c r="P13" s="138"/>
      <c r="Q13" s="139"/>
    </row>
    <row r="14" spans="1:17" s="5" customFormat="1" x14ac:dyDescent="0.25">
      <c r="A14" s="6" t="s">
        <v>14</v>
      </c>
      <c r="B14" s="7">
        <v>138865764.02000007</v>
      </c>
      <c r="C14" s="7">
        <v>138502195.07000005</v>
      </c>
      <c r="D14" s="7">
        <v>6551632.0899999309</v>
      </c>
      <c r="E14" s="7">
        <v>15720962.319999915</v>
      </c>
      <c r="F14" s="7">
        <v>3007934.62</v>
      </c>
      <c r="G14" s="7">
        <f t="shared" si="0"/>
        <v>18728896.939999916</v>
      </c>
      <c r="H14" s="7">
        <f t="shared" si="4"/>
        <v>119773298.13000014</v>
      </c>
      <c r="I14" s="36">
        <f t="shared" si="2"/>
        <v>0.86477545045019555</v>
      </c>
      <c r="L14" s="138"/>
      <c r="M14" s="138"/>
      <c r="N14" s="138"/>
      <c r="O14" s="138"/>
      <c r="P14" s="138"/>
      <c r="Q14" s="139"/>
    </row>
    <row r="15" spans="1:17" s="5" customFormat="1" x14ac:dyDescent="0.25">
      <c r="A15" s="6" t="s">
        <v>15</v>
      </c>
      <c r="B15" s="7">
        <v>24580182.5</v>
      </c>
      <c r="C15" s="7">
        <v>19550630.490000002</v>
      </c>
      <c r="D15" s="7">
        <v>1072231.2500000009</v>
      </c>
      <c r="E15" s="7">
        <v>5033499.33</v>
      </c>
      <c r="F15" s="7">
        <v>291495.92999999982</v>
      </c>
      <c r="G15" s="7">
        <f t="shared" si="0"/>
        <v>5324995.26</v>
      </c>
      <c r="H15" s="7">
        <f t="shared" si="4"/>
        <v>14225635.230000002</v>
      </c>
      <c r="I15" s="36">
        <f t="shared" si="2"/>
        <v>0.72763050978209143</v>
      </c>
      <c r="L15" s="138"/>
      <c r="M15" s="138"/>
      <c r="N15" s="138"/>
      <c r="O15" s="138"/>
      <c r="P15" s="138"/>
      <c r="Q15" s="139"/>
    </row>
    <row r="16" spans="1:17" s="5" customFormat="1" x14ac:dyDescent="0.2">
      <c r="A16" s="6" t="s">
        <v>16</v>
      </c>
      <c r="B16" s="7">
        <v>1156402.98</v>
      </c>
      <c r="C16" s="7">
        <v>1158781.98</v>
      </c>
      <c r="D16" s="7">
        <v>0</v>
      </c>
      <c r="E16" s="7">
        <v>1165.8999999999999</v>
      </c>
      <c r="F16" s="7">
        <v>23505</v>
      </c>
      <c r="G16" s="7">
        <f t="shared" si="0"/>
        <v>24670.9</v>
      </c>
      <c r="H16" s="7">
        <f t="shared" si="4"/>
        <v>1134111.08</v>
      </c>
      <c r="I16" s="36">
        <f t="shared" si="2"/>
        <v>0.97870962750042079</v>
      </c>
      <c r="M16" s="139"/>
      <c r="N16" s="139"/>
      <c r="O16" s="139"/>
      <c r="P16" s="139"/>
      <c r="Q16" s="139"/>
    </row>
    <row r="17" spans="1:18" s="5" customFormat="1" x14ac:dyDescent="0.2">
      <c r="A17" s="6" t="s">
        <v>17</v>
      </c>
      <c r="B17" s="7">
        <v>16664317.899999974</v>
      </c>
      <c r="C17" s="7">
        <v>16809317.899999976</v>
      </c>
      <c r="D17" s="7">
        <v>1147318.3100000049</v>
      </c>
      <c r="E17" s="7">
        <v>2410336.4900000026</v>
      </c>
      <c r="F17" s="7">
        <v>305585.10000000009</v>
      </c>
      <c r="G17" s="7">
        <f t="shared" si="0"/>
        <v>2715921.5900000026</v>
      </c>
      <c r="H17" s="7">
        <f t="shared" si="4"/>
        <v>14093396.309999973</v>
      </c>
      <c r="I17" s="36">
        <f t="shared" si="2"/>
        <v>0.83842761460296922</v>
      </c>
      <c r="M17" s="139"/>
      <c r="N17" s="139"/>
      <c r="O17" s="139"/>
      <c r="P17" s="139"/>
      <c r="Q17" s="139"/>
    </row>
    <row r="18" spans="1:18" s="5" customFormat="1" x14ac:dyDescent="0.2">
      <c r="A18" s="6" t="s">
        <v>18</v>
      </c>
      <c r="B18" s="7">
        <v>44175446.220000006</v>
      </c>
      <c r="C18" s="7">
        <v>44323650.220000006</v>
      </c>
      <c r="D18" s="7">
        <v>23715021.809999999</v>
      </c>
      <c r="E18" s="7">
        <v>27039463.669999998</v>
      </c>
      <c r="F18" s="7">
        <v>1016333.2799999999</v>
      </c>
      <c r="G18" s="7">
        <f t="shared" si="0"/>
        <v>28055796.949999999</v>
      </c>
      <c r="H18" s="7">
        <f t="shared" si="4"/>
        <v>16267853.270000007</v>
      </c>
      <c r="I18" s="36">
        <f t="shared" si="2"/>
        <v>0.36702422271754864</v>
      </c>
      <c r="M18" s="139"/>
      <c r="N18" s="139"/>
      <c r="O18" s="139"/>
      <c r="P18" s="139"/>
      <c r="Q18" s="139"/>
    </row>
    <row r="19" spans="1:18" s="5" customFormat="1" x14ac:dyDescent="0.2">
      <c r="A19" s="6" t="s">
        <v>19</v>
      </c>
      <c r="B19" s="7">
        <v>74209903.609999985</v>
      </c>
      <c r="C19" s="7">
        <v>74174903.609999985</v>
      </c>
      <c r="D19" s="7">
        <v>6719298.1699999161</v>
      </c>
      <c r="E19" s="7">
        <v>22205119.369999908</v>
      </c>
      <c r="F19" s="7">
        <v>0</v>
      </c>
      <c r="G19" s="7">
        <f t="shared" si="0"/>
        <v>22205119.369999908</v>
      </c>
      <c r="H19" s="7">
        <f t="shared" si="4"/>
        <v>51969784.240000077</v>
      </c>
      <c r="I19" s="36">
        <f t="shared" si="2"/>
        <v>0.70063837916458993</v>
      </c>
      <c r="M19" s="139"/>
      <c r="N19" s="139"/>
      <c r="O19" s="139"/>
      <c r="P19" s="139"/>
      <c r="Q19" s="139"/>
    </row>
    <row r="20" spans="1:18" s="5" customFormat="1" x14ac:dyDescent="0.2">
      <c r="A20" s="6" t="s">
        <v>20</v>
      </c>
      <c r="B20" s="7">
        <v>18798662.91</v>
      </c>
      <c r="C20" s="7">
        <v>18565458.91</v>
      </c>
      <c r="D20" s="7">
        <v>997356.99999999977</v>
      </c>
      <c r="E20" s="7">
        <v>5543271.0599999996</v>
      </c>
      <c r="F20" s="7">
        <v>1630353.9200000004</v>
      </c>
      <c r="G20" s="7">
        <f t="shared" si="0"/>
        <v>7173624.9800000004</v>
      </c>
      <c r="H20" s="7">
        <f t="shared" si="4"/>
        <v>11391833.93</v>
      </c>
      <c r="I20" s="36">
        <f t="shared" si="2"/>
        <v>0.61360368118150654</v>
      </c>
      <c r="M20" s="139"/>
      <c r="N20" s="139"/>
      <c r="O20" s="139"/>
      <c r="P20" s="139"/>
      <c r="Q20" s="139"/>
    </row>
    <row r="21" spans="1:18" s="5" customFormat="1" x14ac:dyDescent="0.2">
      <c r="A21" s="6" t="s">
        <v>21</v>
      </c>
      <c r="B21" s="7">
        <v>180228363.12999997</v>
      </c>
      <c r="C21" s="7">
        <v>180144468.12999997</v>
      </c>
      <c r="D21" s="7">
        <v>9963184.6899999436</v>
      </c>
      <c r="E21" s="7">
        <v>38876794.149999954</v>
      </c>
      <c r="F21" s="7">
        <v>19273395.889999997</v>
      </c>
      <c r="G21" s="7">
        <f t="shared" si="0"/>
        <v>58150190.039999947</v>
      </c>
      <c r="H21" s="7">
        <f t="shared" si="4"/>
        <v>121994278.09000002</v>
      </c>
      <c r="I21" s="36">
        <f t="shared" si="2"/>
        <v>0.67720246620042601</v>
      </c>
      <c r="M21" s="139"/>
      <c r="N21" s="139"/>
      <c r="O21" s="139"/>
      <c r="P21" s="139"/>
      <c r="Q21" s="139"/>
    </row>
    <row r="22" spans="1:18" s="5" customFormat="1" x14ac:dyDescent="0.2">
      <c r="A22" s="6" t="s">
        <v>22</v>
      </c>
      <c r="B22" s="7">
        <v>81196367.840000004</v>
      </c>
      <c r="C22" s="7">
        <v>81550262.840000004</v>
      </c>
      <c r="D22" s="7">
        <v>5254602.8100000015</v>
      </c>
      <c r="E22" s="7">
        <v>13907146.990000002</v>
      </c>
      <c r="F22" s="7">
        <v>1027298.5</v>
      </c>
      <c r="G22" s="7">
        <f t="shared" si="0"/>
        <v>14934445.490000002</v>
      </c>
      <c r="H22" s="7">
        <f t="shared" si="4"/>
        <v>66615817.350000001</v>
      </c>
      <c r="I22" s="36">
        <f t="shared" si="2"/>
        <v>0.8168682114575021</v>
      </c>
      <c r="M22" s="139"/>
      <c r="N22" s="139"/>
      <c r="O22" s="139"/>
      <c r="P22" s="139"/>
      <c r="Q22" s="139"/>
    </row>
    <row r="23" spans="1:18" s="5" customFormat="1" x14ac:dyDescent="0.2">
      <c r="A23" s="6" t="s">
        <v>23</v>
      </c>
      <c r="B23" s="7">
        <v>28896529.389999993</v>
      </c>
      <c r="C23" s="7">
        <v>31629344.59999999</v>
      </c>
      <c r="D23" s="7">
        <v>2196393.6000000015</v>
      </c>
      <c r="E23" s="7">
        <v>9031691.0600000042</v>
      </c>
      <c r="F23" s="7">
        <v>1842929.65</v>
      </c>
      <c r="G23" s="7">
        <f t="shared" si="0"/>
        <v>10874620.710000005</v>
      </c>
      <c r="H23" s="7">
        <f t="shared" si="4"/>
        <v>20754723.889999986</v>
      </c>
      <c r="I23" s="36">
        <f t="shared" si="2"/>
        <v>0.65618570831847056</v>
      </c>
      <c r="M23" s="139"/>
      <c r="N23" s="139"/>
      <c r="O23" s="139"/>
      <c r="P23" s="139"/>
      <c r="Q23" s="139"/>
    </row>
    <row r="24" spans="1:18" s="5" customFormat="1" x14ac:dyDescent="0.25">
      <c r="A24" s="6" t="s">
        <v>24</v>
      </c>
      <c r="B24" s="7">
        <v>1932771.7399999998</v>
      </c>
      <c r="C24" s="7">
        <v>1932771.7399999998</v>
      </c>
      <c r="D24" s="7">
        <v>102312.44</v>
      </c>
      <c r="E24" s="7">
        <v>262719.99</v>
      </c>
      <c r="F24" s="7">
        <v>0</v>
      </c>
      <c r="G24" s="7">
        <f t="shared" si="0"/>
        <v>262719.99</v>
      </c>
      <c r="H24" s="7">
        <f t="shared" si="4"/>
        <v>1670051.7499999998</v>
      </c>
      <c r="I24" s="36">
        <f t="shared" si="2"/>
        <v>0.86407086539872524</v>
      </c>
      <c r="L24" s="1"/>
      <c r="M24" s="138"/>
      <c r="N24" s="138"/>
      <c r="O24" s="138"/>
      <c r="P24" s="138"/>
      <c r="Q24" s="138"/>
    </row>
    <row r="25" spans="1:18" s="5" customFormat="1" x14ac:dyDescent="0.25">
      <c r="A25" s="6" t="s">
        <v>31</v>
      </c>
      <c r="B25" s="7">
        <v>1005000</v>
      </c>
      <c r="C25" s="7">
        <v>1005000</v>
      </c>
      <c r="D25" s="7">
        <v>0</v>
      </c>
      <c r="E25" s="7">
        <v>0</v>
      </c>
      <c r="F25" s="7">
        <v>0</v>
      </c>
      <c r="G25" s="7">
        <f t="shared" si="0"/>
        <v>0</v>
      </c>
      <c r="H25" s="7">
        <f t="shared" si="4"/>
        <v>1005000</v>
      </c>
      <c r="I25" s="36">
        <f t="shared" si="2"/>
        <v>1</v>
      </c>
      <c r="L25" s="1"/>
      <c r="M25" s="138"/>
      <c r="N25" s="138"/>
      <c r="O25" s="138"/>
      <c r="P25" s="138"/>
      <c r="Q25" s="138"/>
    </row>
    <row r="26" spans="1:18" s="5" customFormat="1" x14ac:dyDescent="0.25">
      <c r="A26" s="6" t="s">
        <v>33</v>
      </c>
      <c r="B26" s="7">
        <v>1346246.49</v>
      </c>
      <c r="C26" s="7">
        <v>1346246.49</v>
      </c>
      <c r="D26" s="7">
        <v>420</v>
      </c>
      <c r="E26" s="7">
        <v>420</v>
      </c>
      <c r="F26" s="7">
        <v>1433.75</v>
      </c>
      <c r="G26" s="7">
        <f t="shared" ref="G26" si="5">SUM(E26:F26)</f>
        <v>1853.75</v>
      </c>
      <c r="H26" s="7">
        <f t="shared" ref="H26" si="6">C26-G26</f>
        <v>1344392.74</v>
      </c>
      <c r="I26" s="36">
        <f t="shared" ref="I26" si="7">IF(C26=0,"NA",H26/C26)</f>
        <v>0.99862302333653619</v>
      </c>
      <c r="K26" s="1"/>
      <c r="L26" s="1"/>
      <c r="M26" s="138"/>
      <c r="N26" s="138"/>
      <c r="O26" s="138"/>
      <c r="P26" s="138"/>
      <c r="Q26" s="138"/>
      <c r="R26" s="1"/>
    </row>
    <row r="27" spans="1:18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6">
        <f t="shared" si="2"/>
        <v>1</v>
      </c>
      <c r="K27" s="1"/>
      <c r="L27" s="1"/>
      <c r="M27" s="138"/>
      <c r="N27" s="138"/>
      <c r="O27" s="138"/>
      <c r="P27" s="138"/>
      <c r="Q27" s="138"/>
      <c r="R27" s="1"/>
    </row>
    <row r="28" spans="1:18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6" t="str">
        <f t="shared" si="2"/>
        <v>NA</v>
      </c>
      <c r="K28" s="1"/>
      <c r="L28" s="1"/>
      <c r="M28" s="138"/>
      <c r="N28" s="138"/>
      <c r="O28" s="138"/>
      <c r="P28" s="138"/>
      <c r="Q28" s="138"/>
      <c r="R28" s="1"/>
    </row>
    <row r="29" spans="1:18" s="5" customFormat="1" x14ac:dyDescent="0.25">
      <c r="A29" s="10" t="s">
        <v>27</v>
      </c>
      <c r="B29" s="11">
        <f t="shared" ref="B29:H29" si="8">SUM(B13:B28)</f>
        <v>1327071879.7800004</v>
      </c>
      <c r="C29" s="11">
        <f t="shared" si="8"/>
        <v>1325307101.9000001</v>
      </c>
      <c r="D29" s="11">
        <f t="shared" si="8"/>
        <v>129554793.38000125</v>
      </c>
      <c r="E29" s="11">
        <f t="shared" si="8"/>
        <v>303419097.08000106</v>
      </c>
      <c r="F29" s="11">
        <f t="shared" si="8"/>
        <v>43514470.800000012</v>
      </c>
      <c r="G29" s="11">
        <f t="shared" si="8"/>
        <v>346933567.88000101</v>
      </c>
      <c r="H29" s="11">
        <f t="shared" si="8"/>
        <v>978373534.01999927</v>
      </c>
      <c r="I29" s="37">
        <f>IF(C29=0,"NA",H29/C29)</f>
        <v>0.738224018129363</v>
      </c>
      <c r="K29" s="1"/>
      <c r="L29" s="1"/>
      <c r="M29" s="138"/>
      <c r="N29" s="138"/>
      <c r="O29" s="138"/>
      <c r="P29" s="138"/>
      <c r="Q29" s="138"/>
      <c r="R29" s="1"/>
    </row>
    <row r="30" spans="1:18" s="5" customFormat="1" x14ac:dyDescent="0.25">
      <c r="A30" s="13"/>
      <c r="B30" s="14"/>
      <c r="C30" s="14"/>
      <c r="D30" s="14"/>
      <c r="E30" s="14"/>
      <c r="F30" s="14"/>
      <c r="G30" s="14"/>
      <c r="H30" s="14"/>
      <c r="I30" s="16"/>
      <c r="K30" s="1"/>
      <c r="L30" s="1"/>
      <c r="M30" s="138"/>
      <c r="N30" s="138"/>
      <c r="O30" s="138"/>
      <c r="P30" s="138"/>
      <c r="Q30" s="138"/>
      <c r="R30" s="1"/>
    </row>
    <row r="31" spans="1:18" s="5" customFormat="1" ht="24.95" customHeight="1" x14ac:dyDescent="0.25">
      <c r="A31" s="6" t="s">
        <v>28</v>
      </c>
      <c r="B31" s="7">
        <f>B12-B29</f>
        <v>-21872401.330000401</v>
      </c>
      <c r="C31" s="7">
        <f>C12-C29</f>
        <v>-19797500.960000038</v>
      </c>
      <c r="D31" s="7">
        <f>D12-D29</f>
        <v>94949839.219998747</v>
      </c>
      <c r="E31" s="7">
        <f>E12-E29</f>
        <v>237475160.41999894</v>
      </c>
      <c r="F31" s="7"/>
      <c r="G31" s="7">
        <f>G12-G29</f>
        <v>193960689.61999899</v>
      </c>
      <c r="H31" s="7"/>
      <c r="I31" s="17"/>
      <c r="K31" s="1"/>
      <c r="L31" s="1"/>
      <c r="M31" s="138"/>
      <c r="N31" s="138"/>
      <c r="O31" s="138"/>
      <c r="P31" s="138"/>
      <c r="Q31" s="138"/>
      <c r="R31" s="1"/>
    </row>
    <row r="32" spans="1:18" s="5" customFormat="1" x14ac:dyDescent="0.25">
      <c r="A32" s="8"/>
      <c r="B32" s="9"/>
      <c r="C32" s="9"/>
      <c r="D32" s="9"/>
      <c r="E32" s="9"/>
      <c r="F32" s="9"/>
      <c r="G32" s="9"/>
      <c r="H32" s="9"/>
      <c r="I32" s="18"/>
      <c r="K32" s="1"/>
      <c r="L32" s="1"/>
      <c r="M32" s="138"/>
      <c r="N32" s="138"/>
      <c r="O32" s="138"/>
      <c r="P32" s="138"/>
      <c r="Q32" s="138"/>
      <c r="R32" s="1"/>
    </row>
    <row r="33" spans="1:21" s="5" customFormat="1" x14ac:dyDescent="0.25">
      <c r="A33" s="151" t="s">
        <v>78</v>
      </c>
      <c r="B33" s="21"/>
      <c r="C33" s="21"/>
      <c r="D33" s="21"/>
      <c r="E33" s="21">
        <v>265464594.49999699</v>
      </c>
      <c r="F33" s="21"/>
      <c r="G33" s="21">
        <f>E33</f>
        <v>265464594.49999699</v>
      </c>
      <c r="H33" s="21"/>
      <c r="I33" s="22"/>
      <c r="K33" s="1"/>
      <c r="L33" s="1"/>
      <c r="M33" s="138"/>
      <c r="N33" s="138"/>
      <c r="O33" s="138"/>
      <c r="P33" s="138"/>
      <c r="Q33" s="138"/>
      <c r="R33" s="1"/>
      <c r="S33" s="1"/>
      <c r="T33" s="1"/>
      <c r="U33" s="1"/>
    </row>
    <row r="34" spans="1:21" s="5" customFormat="1" x14ac:dyDescent="0.25">
      <c r="A34" s="151" t="s">
        <v>79</v>
      </c>
      <c r="B34" s="21"/>
      <c r="C34" s="21"/>
      <c r="D34" s="21"/>
      <c r="E34" s="21">
        <v>45000000</v>
      </c>
      <c r="F34" s="21"/>
      <c r="G34" s="21">
        <f>E34</f>
        <v>45000000</v>
      </c>
      <c r="H34" s="21"/>
      <c r="I34" s="22"/>
      <c r="K34" s="1"/>
      <c r="L34" s="1"/>
      <c r="M34" s="138"/>
      <c r="N34" s="138"/>
      <c r="O34" s="138"/>
      <c r="P34" s="138"/>
      <c r="Q34" s="138"/>
      <c r="R34" s="1"/>
      <c r="S34" s="1"/>
      <c r="T34" s="1"/>
      <c r="U34" s="1"/>
    </row>
    <row r="35" spans="1:21" s="5" customFormat="1" ht="24.75" customHeight="1" x14ac:dyDescent="0.25">
      <c r="A35" s="19" t="s">
        <v>80</v>
      </c>
      <c r="B35" s="21"/>
      <c r="C35" s="21"/>
      <c r="D35" s="21"/>
      <c r="E35" s="21">
        <f>E33-E34</f>
        <v>220464594.49999699</v>
      </c>
      <c r="F35" s="21"/>
      <c r="G35" s="21">
        <f>E35</f>
        <v>220464594.49999699</v>
      </c>
      <c r="H35" s="21"/>
      <c r="I35" s="22"/>
      <c r="K35" s="1"/>
      <c r="L35" s="1"/>
      <c r="M35" s="138"/>
      <c r="N35" s="138"/>
      <c r="O35" s="138"/>
      <c r="P35" s="138"/>
      <c r="Q35" s="138"/>
      <c r="R35" s="1"/>
      <c r="S35" s="1"/>
      <c r="T35" s="1"/>
      <c r="U35" s="1"/>
    </row>
    <row r="36" spans="1:21" s="5" customFormat="1" ht="27.75" customHeight="1" thickBot="1" x14ac:dyDescent="0.3">
      <c r="A36" s="23" t="s">
        <v>29</v>
      </c>
      <c r="B36" s="25"/>
      <c r="C36" s="25"/>
      <c r="D36" s="25"/>
      <c r="E36" s="25">
        <f>+E35+E31</f>
        <v>457939754.9199959</v>
      </c>
      <c r="F36" s="25"/>
      <c r="G36" s="25">
        <f>+G35+G31</f>
        <v>414425284.11999595</v>
      </c>
      <c r="H36" s="25"/>
      <c r="I36" s="26"/>
      <c r="K36" s="1"/>
      <c r="L36" s="1"/>
      <c r="M36" s="138"/>
      <c r="N36" s="138"/>
      <c r="O36" s="138"/>
      <c r="P36" s="138"/>
      <c r="Q36" s="138"/>
      <c r="R36" s="1"/>
      <c r="S36" s="1"/>
      <c r="T36" s="1"/>
      <c r="U36" s="1"/>
    </row>
    <row r="37" spans="1:21" x14ac:dyDescent="0.25">
      <c r="A37" s="5"/>
      <c r="B37" s="34"/>
      <c r="C37" s="34"/>
      <c r="D37" s="34"/>
      <c r="E37" s="34"/>
      <c r="F37" s="34"/>
      <c r="G37" s="34"/>
      <c r="H37" s="34"/>
      <c r="I37" s="5"/>
      <c r="J37" s="5"/>
    </row>
    <row r="39" spans="1:21" x14ac:dyDescent="0.25">
      <c r="B39" s="1"/>
      <c r="C39" s="1"/>
      <c r="D39" s="1"/>
      <c r="E39" s="138"/>
      <c r="F39" s="138"/>
      <c r="G39" s="138"/>
      <c r="H39" s="138"/>
      <c r="I39" s="138"/>
      <c r="M39" s="1"/>
      <c r="N39" s="1"/>
      <c r="O39" s="1"/>
      <c r="P39" s="1"/>
      <c r="Q39" s="1"/>
    </row>
    <row r="40" spans="1:21" x14ac:dyDescent="0.25">
      <c r="B40" s="1"/>
      <c r="C40" s="1"/>
      <c r="D40" s="1"/>
      <c r="E40" s="138"/>
      <c r="F40" s="138"/>
      <c r="G40" s="138"/>
      <c r="H40" s="138"/>
      <c r="I40" s="138"/>
      <c r="M40" s="1"/>
      <c r="N40" s="1"/>
      <c r="O40" s="1"/>
      <c r="P40" s="1"/>
      <c r="Q40" s="1"/>
    </row>
    <row r="41" spans="1:21" x14ac:dyDescent="0.25">
      <c r="B41" s="1"/>
      <c r="C41" s="1"/>
      <c r="D41" s="1"/>
      <c r="E41" s="138"/>
      <c r="F41" s="138"/>
      <c r="G41" s="138"/>
      <c r="H41" s="138"/>
      <c r="I41" s="138"/>
      <c r="M41" s="1"/>
      <c r="N41" s="1"/>
      <c r="O41" s="1"/>
      <c r="P41" s="1"/>
      <c r="Q41" s="1"/>
    </row>
    <row r="42" spans="1:21" x14ac:dyDescent="0.25">
      <c r="B42" s="1"/>
      <c r="C42" s="1"/>
      <c r="D42" s="1"/>
      <c r="E42" s="138"/>
      <c r="F42" s="138"/>
      <c r="G42" s="138"/>
      <c r="H42" s="138"/>
      <c r="I42" s="138"/>
      <c r="M42" s="1"/>
      <c r="N42" s="1"/>
      <c r="O42" s="1"/>
      <c r="P42" s="1"/>
      <c r="Q42" s="1"/>
    </row>
    <row r="43" spans="1:21" x14ac:dyDescent="0.25">
      <c r="B43" s="1"/>
      <c r="C43" s="1"/>
      <c r="D43" s="1"/>
      <c r="E43" s="138"/>
      <c r="F43" s="138"/>
      <c r="G43" s="138"/>
      <c r="H43" s="138"/>
      <c r="I43" s="138"/>
      <c r="M43" s="1"/>
      <c r="N43" s="1"/>
      <c r="O43" s="1"/>
      <c r="P43" s="1"/>
      <c r="Q43" s="1"/>
    </row>
    <row r="44" spans="1:21" x14ac:dyDescent="0.25">
      <c r="B44" s="1"/>
      <c r="C44" s="1"/>
      <c r="D44" s="1"/>
      <c r="E44" s="138"/>
      <c r="F44" s="138"/>
      <c r="G44" s="138"/>
      <c r="H44" s="138"/>
      <c r="I44" s="138"/>
      <c r="M44" s="1"/>
      <c r="N44" s="1"/>
      <c r="O44" s="1"/>
      <c r="P44" s="1"/>
      <c r="Q44" s="1"/>
    </row>
    <row r="45" spans="1:21" x14ac:dyDescent="0.25">
      <c r="B45" s="1"/>
      <c r="C45" s="1"/>
      <c r="D45" s="1"/>
      <c r="E45" s="138"/>
      <c r="F45" s="138"/>
      <c r="G45" s="138"/>
      <c r="H45" s="138"/>
      <c r="I45" s="138"/>
      <c r="M45" s="1"/>
      <c r="N45" s="1"/>
      <c r="O45" s="1"/>
      <c r="P45" s="1"/>
      <c r="Q45" s="1"/>
    </row>
    <row r="46" spans="1:21" x14ac:dyDescent="0.25">
      <c r="B46" s="1"/>
      <c r="C46" s="1"/>
      <c r="D46" s="1"/>
      <c r="E46" s="138"/>
      <c r="F46" s="138"/>
      <c r="G46" s="138"/>
      <c r="H46" s="138"/>
      <c r="I46" s="138"/>
      <c r="M46" s="1"/>
      <c r="N46" s="1"/>
      <c r="O46" s="1"/>
      <c r="P46" s="1"/>
      <c r="Q46" s="1"/>
    </row>
    <row r="47" spans="1:21" x14ac:dyDescent="0.25">
      <c r="B47" s="1"/>
      <c r="C47" s="1"/>
      <c r="D47" s="1"/>
      <c r="E47" s="138"/>
      <c r="F47" s="138"/>
      <c r="G47" s="138"/>
      <c r="H47" s="138"/>
      <c r="I47" s="138"/>
      <c r="M47" s="1"/>
      <c r="N47" s="1"/>
      <c r="O47" s="1"/>
      <c r="P47" s="1"/>
      <c r="Q47" s="1"/>
    </row>
    <row r="48" spans="1:21" x14ac:dyDescent="0.25">
      <c r="B48" s="1"/>
      <c r="C48" s="1"/>
      <c r="D48" s="1"/>
      <c r="E48" s="138"/>
      <c r="F48" s="138"/>
      <c r="G48" s="138"/>
      <c r="H48" s="138"/>
      <c r="I48" s="138"/>
      <c r="M48" s="1"/>
      <c r="N48" s="1"/>
      <c r="O48" s="1"/>
      <c r="P48" s="1"/>
      <c r="Q48" s="1"/>
    </row>
    <row r="49" spans="2:17" x14ac:dyDescent="0.25">
      <c r="B49" s="1"/>
      <c r="C49" s="1"/>
      <c r="D49" s="1"/>
      <c r="E49" s="138"/>
      <c r="F49" s="138"/>
      <c r="G49" s="138"/>
      <c r="H49" s="138"/>
      <c r="I49" s="138"/>
      <c r="M49" s="1"/>
      <c r="N49" s="1"/>
      <c r="O49" s="1"/>
      <c r="P49" s="1"/>
      <c r="Q49" s="1"/>
    </row>
    <row r="50" spans="2:17" x14ac:dyDescent="0.25">
      <c r="B50" s="1"/>
      <c r="C50" s="1"/>
      <c r="D50" s="1"/>
      <c r="E50" s="138"/>
      <c r="F50" s="138"/>
      <c r="G50" s="138"/>
      <c r="H50" s="138"/>
      <c r="I50" s="138"/>
      <c r="M50" s="1"/>
      <c r="N50" s="1"/>
      <c r="O50" s="1"/>
      <c r="P50" s="1"/>
      <c r="Q50" s="1"/>
    </row>
    <row r="51" spans="2:17" x14ac:dyDescent="0.25">
      <c r="B51" s="1"/>
      <c r="C51" s="1"/>
      <c r="D51" s="1"/>
      <c r="E51" s="138"/>
      <c r="F51" s="138"/>
      <c r="G51" s="138"/>
      <c r="H51" s="138"/>
      <c r="I51" s="138"/>
      <c r="M51" s="1"/>
      <c r="N51" s="1"/>
      <c r="O51" s="1"/>
      <c r="P51" s="1"/>
      <c r="Q51" s="1"/>
    </row>
    <row r="52" spans="2:17" x14ac:dyDescent="0.25">
      <c r="B52" s="1"/>
      <c r="C52" s="1"/>
      <c r="D52" s="1"/>
      <c r="E52" s="138"/>
      <c r="F52" s="138"/>
      <c r="G52" s="138"/>
      <c r="H52" s="138"/>
      <c r="I52" s="138"/>
      <c r="M52" s="1"/>
      <c r="N52" s="1"/>
      <c r="O52" s="1"/>
      <c r="P52" s="1"/>
      <c r="Q52" s="1"/>
    </row>
    <row r="53" spans="2:17" x14ac:dyDescent="0.25">
      <c r="B53" s="1"/>
      <c r="C53" s="1"/>
      <c r="D53" s="1"/>
      <c r="E53" s="138"/>
      <c r="F53" s="138"/>
      <c r="G53" s="138"/>
      <c r="H53" s="138"/>
      <c r="I53" s="138"/>
      <c r="M53" s="1"/>
      <c r="N53" s="1"/>
      <c r="O53" s="1"/>
      <c r="P53" s="1"/>
      <c r="Q53" s="1"/>
    </row>
    <row r="54" spans="2:17" x14ac:dyDescent="0.25">
      <c r="B54" s="1"/>
      <c r="C54" s="1"/>
      <c r="D54" s="1"/>
      <c r="E54" s="138"/>
      <c r="F54" s="138"/>
      <c r="G54" s="138"/>
      <c r="H54" s="138"/>
      <c r="I54" s="138"/>
      <c r="M54" s="1"/>
      <c r="N54" s="1"/>
      <c r="O54" s="1"/>
      <c r="P54" s="1"/>
      <c r="Q54" s="1"/>
    </row>
    <row r="55" spans="2:17" x14ac:dyDescent="0.25">
      <c r="B55" s="1"/>
      <c r="C55" s="1"/>
      <c r="D55" s="1"/>
      <c r="E55" s="138"/>
      <c r="F55" s="138"/>
      <c r="G55" s="138"/>
      <c r="H55" s="138"/>
      <c r="I55" s="138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38"/>
      <c r="F56" s="138"/>
      <c r="G56" s="138"/>
      <c r="H56" s="138"/>
      <c r="I56" s="138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38"/>
      <c r="F57" s="138"/>
      <c r="G57" s="138"/>
      <c r="H57" s="138"/>
      <c r="I57" s="138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38"/>
      <c r="F58" s="138"/>
      <c r="G58" s="138"/>
      <c r="H58" s="138"/>
      <c r="I58" s="138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38"/>
      <c r="F59" s="138"/>
      <c r="G59" s="138"/>
      <c r="H59" s="138"/>
      <c r="I59" s="138"/>
      <c r="M59" s="1"/>
      <c r="N59" s="1"/>
      <c r="O59" s="1"/>
      <c r="P59" s="1"/>
      <c r="Q59" s="1"/>
    </row>
    <row r="60" spans="2:17" x14ac:dyDescent="0.25">
      <c r="B60" s="1"/>
      <c r="C60" s="1"/>
      <c r="D60" s="1"/>
      <c r="E60" s="138"/>
      <c r="F60" s="138"/>
      <c r="G60" s="138"/>
      <c r="H60" s="138"/>
      <c r="I60" s="138"/>
      <c r="M60" s="1"/>
      <c r="N60" s="1"/>
      <c r="O60" s="1"/>
      <c r="P60" s="1"/>
      <c r="Q60" s="1"/>
    </row>
    <row r="61" spans="2:17" x14ac:dyDescent="0.25">
      <c r="C61" s="1"/>
      <c r="D61" s="1"/>
      <c r="E61" s="1"/>
      <c r="F61" s="1"/>
      <c r="G61" s="138"/>
      <c r="H61" s="138"/>
      <c r="I61" s="138"/>
      <c r="J61" s="138"/>
      <c r="K61" s="138"/>
      <c r="M61" s="1"/>
      <c r="N61" s="1"/>
      <c r="O61" s="1"/>
      <c r="P61" s="1"/>
      <c r="Q61" s="1"/>
    </row>
    <row r="62" spans="2:17" x14ac:dyDescent="0.25">
      <c r="I62" s="31"/>
      <c r="K62" s="138"/>
      <c r="L62" s="138"/>
      <c r="P62" s="1"/>
      <c r="Q62" s="1"/>
    </row>
    <row r="63" spans="2:17" x14ac:dyDescent="0.25">
      <c r="I63" s="31"/>
    </row>
    <row r="64" spans="2:17" x14ac:dyDescent="0.25">
      <c r="I64" s="31"/>
    </row>
    <row r="65" spans="9:9" x14ac:dyDescent="0.25">
      <c r="I65" s="31"/>
    </row>
    <row r="66" spans="9:9" x14ac:dyDescent="0.25">
      <c r="I66" s="31"/>
    </row>
    <row r="67" spans="9:9" x14ac:dyDescent="0.25">
      <c r="I67" s="31"/>
    </row>
    <row r="68" spans="9:9" x14ac:dyDescent="0.25">
      <c r="I68" s="31"/>
    </row>
    <row r="69" spans="9:9" x14ac:dyDescent="0.25">
      <c r="I69" s="31"/>
    </row>
    <row r="70" spans="9:9" x14ac:dyDescent="0.25">
      <c r="I70" s="31"/>
    </row>
    <row r="71" spans="9:9" x14ac:dyDescent="0.25">
      <c r="I71" s="31"/>
    </row>
    <row r="72" spans="9:9" x14ac:dyDescent="0.25">
      <c r="I72" s="31"/>
    </row>
    <row r="73" spans="9:9" x14ac:dyDescent="0.25">
      <c r="I73" s="31"/>
    </row>
    <row r="74" spans="9:9" x14ac:dyDescent="0.25">
      <c r="I74" s="31"/>
    </row>
    <row r="75" spans="9:9" x14ac:dyDescent="0.25">
      <c r="I75" s="31"/>
    </row>
    <row r="76" spans="9:9" x14ac:dyDescent="0.25">
      <c r="I76" s="31"/>
    </row>
    <row r="77" spans="9:9" x14ac:dyDescent="0.25">
      <c r="I77" s="31"/>
    </row>
    <row r="78" spans="9:9" x14ac:dyDescent="0.25">
      <c r="I78" s="31"/>
    </row>
    <row r="79" spans="9:9" x14ac:dyDescent="0.25">
      <c r="I79" s="31"/>
    </row>
    <row r="80" spans="9:9" x14ac:dyDescent="0.25">
      <c r="I80" s="31"/>
    </row>
    <row r="81" spans="9:9" x14ac:dyDescent="0.25">
      <c r="I81" s="31"/>
    </row>
    <row r="82" spans="9:9" x14ac:dyDescent="0.25">
      <c r="I82" s="31"/>
    </row>
    <row r="83" spans="9:9" x14ac:dyDescent="0.25">
      <c r="I83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L37" workbookViewId="0">
      <selection activeCell="R55" sqref="R55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2" width="12.5703125" style="51" customWidth="1"/>
    <col min="13" max="16" width="13.42578125" style="51" bestFit="1" customWidth="1"/>
    <col min="17" max="17" width="12.5703125" style="51" customWidth="1"/>
    <col min="18" max="18" width="69.140625" style="52" customWidth="1"/>
    <col min="19" max="20" width="17" style="100" customWidth="1"/>
    <col min="21" max="21" width="17" style="145" bestFit="1" customWidth="1"/>
    <col min="22" max="16384" width="9.140625" style="52"/>
  </cols>
  <sheetData>
    <row r="1" spans="1:21" ht="21" thickBot="1" x14ac:dyDescent="0.25">
      <c r="A1" s="159" t="s">
        <v>77</v>
      </c>
      <c r="B1" s="160"/>
      <c r="C1" s="160"/>
      <c r="D1" s="160"/>
      <c r="E1" s="160"/>
      <c r="F1" s="160"/>
      <c r="G1" s="161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62" t="s">
        <v>40</v>
      </c>
      <c r="B3" s="163"/>
      <c r="C3" s="163"/>
      <c r="D3" s="163"/>
      <c r="E3" s="163"/>
      <c r="F3" s="163"/>
      <c r="G3" s="163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41</v>
      </c>
      <c r="C5" s="55" t="s">
        <v>42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43</v>
      </c>
      <c r="B6" s="57">
        <v>1325307101.9000001</v>
      </c>
      <c r="C6" s="58">
        <f>SUM(F25:Q25)</f>
        <v>303419097.08000088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44</v>
      </c>
      <c r="F7" s="62" t="s">
        <v>45</v>
      </c>
      <c r="G7" s="63" t="s">
        <v>46</v>
      </c>
      <c r="H7" s="63" t="s">
        <v>47</v>
      </c>
      <c r="I7" s="63" t="s">
        <v>48</v>
      </c>
      <c r="J7" s="63" t="s">
        <v>49</v>
      </c>
      <c r="K7" s="63" t="s">
        <v>50</v>
      </c>
      <c r="L7" s="63" t="s">
        <v>51</v>
      </c>
      <c r="M7" s="63" t="s">
        <v>52</v>
      </c>
      <c r="N7" s="63" t="s">
        <v>53</v>
      </c>
      <c r="O7" s="63" t="s">
        <v>54</v>
      </c>
      <c r="P7" s="63" t="s">
        <v>55</v>
      </c>
      <c r="Q7" s="64" t="s">
        <v>56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163386506.75000128</v>
      </c>
      <c r="F9" s="51">
        <f>9808420.78-801492.680000011</f>
        <v>9006928.0999999885</v>
      </c>
      <c r="G9" s="51">
        <f>12409518.8299999-402448.789999992</f>
        <v>12007070.039999908</v>
      </c>
      <c r="H9" s="51">
        <f>70514974.5300016+22512.8699983358</f>
        <v>70537487.399999931</v>
      </c>
      <c r="I9" s="51">
        <v>71835021.210001454</v>
      </c>
      <c r="P9" s="52"/>
      <c r="Q9" s="52"/>
      <c r="R9" s="52" t="s">
        <v>13</v>
      </c>
      <c r="S9" s="100">
        <v>163386506.75000125</v>
      </c>
      <c r="T9" s="100">
        <f>S9-E9</f>
        <v>0</v>
      </c>
      <c r="U9" s="100">
        <v>22512.869998335798</v>
      </c>
    </row>
    <row r="10" spans="1:21" x14ac:dyDescent="0.2">
      <c r="B10" s="51"/>
      <c r="D10" s="53" t="s">
        <v>14</v>
      </c>
      <c r="E10" s="66">
        <f t="shared" ref="E10:E24" si="0">SUM(F10:Q10)</f>
        <v>15720962.319999913</v>
      </c>
      <c r="F10" s="51">
        <f>744217.770000002+10105.1699999985</f>
        <v>754322.94000000053</v>
      </c>
      <c r="G10" s="51">
        <f>1863052.67999999+6695.29000000283</f>
        <v>1869747.9699999928</v>
      </c>
      <c r="H10" s="51">
        <f>6535361.87999997+9897.4400000181</f>
        <v>6545259.3199999882</v>
      </c>
      <c r="I10" s="51">
        <v>6551632.0899999309</v>
      </c>
      <c r="P10" s="52"/>
      <c r="Q10" s="52"/>
      <c r="R10" s="52" t="s">
        <v>14</v>
      </c>
      <c r="S10" s="100">
        <v>15720962.319999915</v>
      </c>
      <c r="T10" s="100">
        <f t="shared" ref="T10:T24" si="1">S10-E10</f>
        <v>0</v>
      </c>
      <c r="U10" s="100">
        <v>9897.4400000181049</v>
      </c>
    </row>
    <row r="11" spans="1:21" x14ac:dyDescent="0.2">
      <c r="B11" s="51"/>
      <c r="D11" s="53" t="s">
        <v>15</v>
      </c>
      <c r="E11" s="66">
        <f t="shared" si="0"/>
        <v>5033499.33</v>
      </c>
      <c r="F11" s="51">
        <f>1063610.27-3992.91000000014</f>
        <v>1059617.3599999999</v>
      </c>
      <c r="G11" s="51">
        <f>1799349.93+20302.8100000009</f>
        <v>1819652.7400000009</v>
      </c>
      <c r="H11" s="51">
        <f>1075530.85+6467.12999999802</f>
        <v>1081997.9799999981</v>
      </c>
      <c r="I11" s="51">
        <v>1072231.2500000009</v>
      </c>
      <c r="P11" s="52"/>
      <c r="Q11" s="52"/>
      <c r="R11" s="52" t="s">
        <v>15</v>
      </c>
      <c r="S11" s="100">
        <v>5033499.33</v>
      </c>
      <c r="T11" s="100">
        <f t="shared" si="1"/>
        <v>0</v>
      </c>
      <c r="U11" s="100">
        <v>6467.1299999980201</v>
      </c>
    </row>
    <row r="12" spans="1:21" x14ac:dyDescent="0.2">
      <c r="B12" s="51"/>
      <c r="D12" s="53" t="s">
        <v>16</v>
      </c>
      <c r="E12" s="66">
        <f t="shared" si="0"/>
        <v>1165.8999999999999</v>
      </c>
      <c r="F12" s="51">
        <v>0</v>
      </c>
      <c r="G12" s="51">
        <v>350</v>
      </c>
      <c r="H12" s="51">
        <v>815.89999999999986</v>
      </c>
      <c r="I12" s="51">
        <v>0</v>
      </c>
      <c r="P12" s="52"/>
      <c r="Q12" s="52"/>
      <c r="R12" s="52" t="s">
        <v>16</v>
      </c>
      <c r="S12" s="100">
        <v>1165.8999999999999</v>
      </c>
      <c r="T12" s="100">
        <f t="shared" si="1"/>
        <v>0</v>
      </c>
      <c r="U12" s="100">
        <v>0</v>
      </c>
    </row>
    <row r="13" spans="1:21" x14ac:dyDescent="0.2">
      <c r="B13" s="51"/>
      <c r="D13" s="53" t="s">
        <v>17</v>
      </c>
      <c r="E13" s="66">
        <f t="shared" si="0"/>
        <v>2410336.4900000067</v>
      </c>
      <c r="F13" s="51">
        <v>48606.109999999986</v>
      </c>
      <c r="G13" s="51">
        <f>67238.6+3580.15000000013</f>
        <v>70818.750000000131</v>
      </c>
      <c r="H13" s="51">
        <f>1142256.26000001+1337.05999999167</f>
        <v>1143593.3200000017</v>
      </c>
      <c r="I13" s="51">
        <v>1147318.3100000049</v>
      </c>
      <c r="P13" s="52"/>
      <c r="Q13" s="52"/>
      <c r="R13" s="52" t="s">
        <v>17</v>
      </c>
      <c r="S13" s="100">
        <v>2410336.4900000026</v>
      </c>
      <c r="T13" s="100">
        <f t="shared" si="1"/>
        <v>-4.1909515857696533E-9</v>
      </c>
      <c r="U13" s="100">
        <v>1337.059999991674</v>
      </c>
    </row>
    <row r="14" spans="1:21" x14ac:dyDescent="0.2">
      <c r="B14" s="51"/>
      <c r="D14" s="53" t="s">
        <v>18</v>
      </c>
      <c r="E14" s="66">
        <f t="shared" si="0"/>
        <v>27039463.669999994</v>
      </c>
      <c r="F14" s="51">
        <f>902161.310000002-151.900000002235</f>
        <v>902009.4099999998</v>
      </c>
      <c r="G14" s="51">
        <f>1317728.15-234499.430000001</f>
        <v>1083228.7199999988</v>
      </c>
      <c r="H14" s="51">
        <f>1327756.7+11447.0299999974</f>
        <v>1339203.7299999974</v>
      </c>
      <c r="I14" s="51">
        <v>23715021.809999999</v>
      </c>
      <c r="P14" s="52"/>
      <c r="Q14" s="52"/>
      <c r="R14" s="52" t="s">
        <v>18</v>
      </c>
      <c r="S14" s="100">
        <v>27039463.669999998</v>
      </c>
      <c r="T14" s="100">
        <f t="shared" si="1"/>
        <v>0</v>
      </c>
      <c r="U14" s="100">
        <v>11447.029999997399</v>
      </c>
    </row>
    <row r="15" spans="1:21" x14ac:dyDescent="0.2">
      <c r="A15" s="67" t="s">
        <v>57</v>
      </c>
      <c r="B15" s="131">
        <f>B6-C6</f>
        <v>1021888004.8199992</v>
      </c>
      <c r="C15" s="68">
        <f>B15/$B$6</f>
        <v>0.77105751818200463</v>
      </c>
      <c r="D15" s="53" t="s">
        <v>19</v>
      </c>
      <c r="E15" s="66">
        <f t="shared" si="0"/>
        <v>22205119.369999714</v>
      </c>
      <c r="F15" s="51">
        <v>2459260.4699999653</v>
      </c>
      <c r="G15" s="51">
        <v>6304768.9399999185</v>
      </c>
      <c r="H15" s="51">
        <v>6721791.7899999144</v>
      </c>
      <c r="I15" s="51">
        <v>6719298.1699999161</v>
      </c>
      <c r="P15" s="52"/>
      <c r="Q15" s="52"/>
      <c r="R15" s="52" t="s">
        <v>19</v>
      </c>
      <c r="S15" s="100">
        <v>22205119.369999908</v>
      </c>
      <c r="T15" s="100">
        <f t="shared" si="1"/>
        <v>1.9371509552001953E-7</v>
      </c>
      <c r="U15" s="100">
        <v>1.9371509552001953E-7</v>
      </c>
    </row>
    <row r="16" spans="1:21" x14ac:dyDescent="0.2">
      <c r="A16" s="67" t="s">
        <v>58</v>
      </c>
      <c r="B16" s="131">
        <f>C6</f>
        <v>303419097.08000088</v>
      </c>
      <c r="C16" s="68">
        <f>B16/$B$6</f>
        <v>0.22894248181799534</v>
      </c>
      <c r="D16" s="53" t="s">
        <v>20</v>
      </c>
      <c r="E16" s="66">
        <f t="shared" si="0"/>
        <v>5543271.0600000005</v>
      </c>
      <c r="F16" s="51">
        <f>817085.08-53607.0499999998</f>
        <v>763478.03000000014</v>
      </c>
      <c r="G16" s="51">
        <f>2710418.49-144659.630000001</f>
        <v>2565758.8599999994</v>
      </c>
      <c r="H16" s="51">
        <f>1214035.99+2641.18000000063</f>
        <v>1216677.1700000006</v>
      </c>
      <c r="I16" s="51">
        <v>997356.99999999977</v>
      </c>
      <c r="P16" s="52"/>
      <c r="Q16" s="52"/>
      <c r="R16" s="52" t="s">
        <v>20</v>
      </c>
      <c r="S16" s="100">
        <v>5543271.0599999996</v>
      </c>
      <c r="T16" s="100">
        <f t="shared" si="1"/>
        <v>0</v>
      </c>
      <c r="U16" s="100">
        <v>2641.1800000006301</v>
      </c>
    </row>
    <row r="17" spans="1:21" x14ac:dyDescent="0.2">
      <c r="A17" s="53"/>
      <c r="B17" s="50"/>
      <c r="C17" s="53"/>
      <c r="D17" s="69" t="s">
        <v>59</v>
      </c>
      <c r="E17" s="66">
        <f t="shared" si="0"/>
        <v>38876794.149999954</v>
      </c>
      <c r="F17" s="51">
        <f>7467041.91999999-482448.149999987</f>
        <v>6984593.7700000023</v>
      </c>
      <c r="G17" s="51">
        <f>11959707.38+127672.980000019</f>
        <v>12087380.36000002</v>
      </c>
      <c r="H17" s="51">
        <f>9749684.37999997+91950.9500000179</f>
        <v>9841635.329999987</v>
      </c>
      <c r="I17" s="51">
        <v>9963184.6899999436</v>
      </c>
      <c r="P17" s="52"/>
      <c r="Q17" s="52"/>
      <c r="R17" s="52" t="s">
        <v>59</v>
      </c>
      <c r="S17" s="100">
        <v>38876794.149999954</v>
      </c>
      <c r="T17" s="100">
        <f t="shared" si="1"/>
        <v>0</v>
      </c>
      <c r="U17" s="100">
        <v>91950.950000017896</v>
      </c>
    </row>
    <row r="18" spans="1:21" x14ac:dyDescent="0.2">
      <c r="B18" s="70"/>
      <c r="C18" s="53"/>
      <c r="D18" s="53" t="s">
        <v>22</v>
      </c>
      <c r="E18" s="66">
        <f t="shared" si="0"/>
        <v>13907146.990000002</v>
      </c>
      <c r="F18" s="51">
        <f>1831401.06-160712.99</f>
        <v>1670688.07</v>
      </c>
      <c r="G18" s="51">
        <f>1933177.85-4670.81999999843</f>
        <v>1928507.0300000017</v>
      </c>
      <c r="H18" s="51">
        <f>5047251.77+6097.30999999865</f>
        <v>5053349.0799999982</v>
      </c>
      <c r="I18" s="51">
        <v>5254602.8100000015</v>
      </c>
      <c r="P18" s="52"/>
      <c r="Q18" s="52"/>
      <c r="R18" s="52" t="s">
        <v>22</v>
      </c>
      <c r="S18" s="100">
        <v>13907146.990000002</v>
      </c>
      <c r="T18" s="100">
        <f t="shared" si="1"/>
        <v>0</v>
      </c>
      <c r="U18" s="100">
        <v>6097.3099999986498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9031691.0600000024</v>
      </c>
      <c r="F19" s="51">
        <f>2565201.92-11227.7600000025</f>
        <v>2553974.1599999974</v>
      </c>
      <c r="G19" s="51">
        <f>2054985.04-314096.689999999</f>
        <v>1740888.350000001</v>
      </c>
      <c r="H19" s="51">
        <f>2540314.96+119.990000003948</f>
        <v>2540434.9500000039</v>
      </c>
      <c r="I19" s="51">
        <v>2196393.6000000015</v>
      </c>
      <c r="P19" s="52"/>
      <c r="Q19" s="52"/>
      <c r="R19" s="52" t="s">
        <v>23</v>
      </c>
      <c r="S19" s="100">
        <v>9031691.0600000042</v>
      </c>
      <c r="T19" s="100">
        <f t="shared" si="1"/>
        <v>0</v>
      </c>
      <c r="U19" s="100">
        <v>119.990000003948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262719.99</v>
      </c>
      <c r="F20" s="51">
        <v>6534.65</v>
      </c>
      <c r="G20" s="51">
        <v>38103.199999999997</v>
      </c>
      <c r="H20" s="51">
        <v>115769.70000000001</v>
      </c>
      <c r="I20" s="51">
        <v>102312.44</v>
      </c>
      <c r="P20" s="52"/>
      <c r="Q20" s="52"/>
      <c r="R20" s="52" t="s">
        <v>24</v>
      </c>
      <c r="S20" s="100">
        <v>262719.99</v>
      </c>
      <c r="T20" s="100">
        <f t="shared" si="1"/>
        <v>0</v>
      </c>
      <c r="U20" s="100">
        <v>0</v>
      </c>
    </row>
    <row r="21" spans="1:21" x14ac:dyDescent="0.2">
      <c r="A21" s="53"/>
      <c r="B21" s="50"/>
      <c r="C21" s="53"/>
      <c r="D21" s="53" t="s">
        <v>31</v>
      </c>
      <c r="E21" s="66">
        <f t="shared" si="0"/>
        <v>0</v>
      </c>
      <c r="F21" s="51">
        <v>0</v>
      </c>
      <c r="G21" s="51">
        <v>0</v>
      </c>
      <c r="H21" s="51">
        <v>0</v>
      </c>
      <c r="I21" s="51">
        <v>0</v>
      </c>
      <c r="P21" s="52"/>
      <c r="Q21" s="52"/>
      <c r="R21" s="52" t="s">
        <v>31</v>
      </c>
      <c r="S21" s="100">
        <v>0</v>
      </c>
      <c r="T21" s="100">
        <f t="shared" si="1"/>
        <v>0</v>
      </c>
      <c r="U21" s="100">
        <v>0</v>
      </c>
    </row>
    <row r="22" spans="1:21" x14ac:dyDescent="0.2">
      <c r="A22" s="53"/>
      <c r="B22" s="50"/>
      <c r="C22" s="53"/>
      <c r="D22" s="53" t="s">
        <v>33</v>
      </c>
      <c r="E22" s="66">
        <f t="shared" si="0"/>
        <v>420</v>
      </c>
      <c r="F22" s="51">
        <v>0</v>
      </c>
      <c r="G22" s="51">
        <v>0</v>
      </c>
      <c r="H22" s="51">
        <v>0</v>
      </c>
      <c r="I22" s="51">
        <v>420</v>
      </c>
      <c r="P22" s="52"/>
      <c r="Q22" s="52"/>
      <c r="R22" s="52" t="s">
        <v>33</v>
      </c>
      <c r="S22" s="100">
        <v>420</v>
      </c>
      <c r="T22" s="100">
        <f t="shared" si="1"/>
        <v>0</v>
      </c>
      <c r="U22" s="100">
        <v>0</v>
      </c>
    </row>
    <row r="23" spans="1:21" x14ac:dyDescent="0.2">
      <c r="A23" s="53"/>
      <c r="B23" s="50"/>
      <c r="C23" s="53"/>
      <c r="D23" s="53" t="s">
        <v>26</v>
      </c>
      <c r="E23" s="66">
        <f t="shared" si="0"/>
        <v>0</v>
      </c>
      <c r="F23" s="51">
        <v>0</v>
      </c>
      <c r="G23" s="51">
        <v>0</v>
      </c>
      <c r="H23" s="51">
        <v>0</v>
      </c>
      <c r="I23" s="51">
        <v>0</v>
      </c>
      <c r="P23" s="52"/>
      <c r="Q23" s="52"/>
      <c r="R23" s="52" t="s">
        <v>26</v>
      </c>
      <c r="S23" s="100">
        <v>0</v>
      </c>
      <c r="T23" s="100">
        <f t="shared" si="1"/>
        <v>0</v>
      </c>
      <c r="U23" s="100">
        <v>0</v>
      </c>
    </row>
    <row r="24" spans="1:21" ht="13.5" thickBot="1" x14ac:dyDescent="0.25">
      <c r="A24" s="53"/>
      <c r="B24" s="50"/>
      <c r="C24" s="53"/>
      <c r="D24" s="53" t="s">
        <v>25</v>
      </c>
      <c r="E24" s="66">
        <f t="shared" si="0"/>
        <v>0</v>
      </c>
      <c r="F24" s="51">
        <v>0</v>
      </c>
      <c r="G24" s="51">
        <v>0</v>
      </c>
      <c r="H24" s="51">
        <v>0</v>
      </c>
      <c r="I24" s="51">
        <v>0</v>
      </c>
      <c r="P24" s="52"/>
      <c r="Q24" s="52"/>
      <c r="R24" s="52" t="s">
        <v>25</v>
      </c>
      <c r="S24" s="100">
        <v>0</v>
      </c>
      <c r="T24" s="100">
        <f t="shared" si="1"/>
        <v>0</v>
      </c>
      <c r="U24" s="100">
        <v>0</v>
      </c>
    </row>
    <row r="25" spans="1:21" ht="13.5" thickBot="1" x14ac:dyDescent="0.25">
      <c r="A25" s="53"/>
      <c r="B25" s="50"/>
      <c r="C25" s="53"/>
      <c r="D25" s="71" t="s">
        <v>60</v>
      </c>
      <c r="E25" s="72">
        <f>SUM(E9:E24)</f>
        <v>303419097.08000088</v>
      </c>
      <c r="F25" s="73">
        <f t="shared" ref="F25:Q25" si="2">SUM(F9:F24)</f>
        <v>26210013.069999952</v>
      </c>
      <c r="G25" s="73">
        <f t="shared" si="2"/>
        <v>41516274.959999844</v>
      </c>
      <c r="H25" s="73">
        <f t="shared" si="2"/>
        <v>106138015.66999985</v>
      </c>
      <c r="I25" s="73">
        <f t="shared" si="2"/>
        <v>129554793.38000125</v>
      </c>
      <c r="J25" s="73">
        <f t="shared" si="2"/>
        <v>0</v>
      </c>
      <c r="K25" s="73">
        <f t="shared" si="2"/>
        <v>0</v>
      </c>
      <c r="L25" s="73">
        <f t="shared" si="2"/>
        <v>0</v>
      </c>
      <c r="M25" s="73">
        <f t="shared" si="2"/>
        <v>0</v>
      </c>
      <c r="N25" s="73">
        <f t="shared" si="2"/>
        <v>0</v>
      </c>
      <c r="O25" s="73">
        <f t="shared" si="2"/>
        <v>0</v>
      </c>
      <c r="P25" s="73">
        <f t="shared" si="2"/>
        <v>0</v>
      </c>
      <c r="Q25" s="73">
        <f t="shared" si="2"/>
        <v>0</v>
      </c>
      <c r="S25" s="128">
        <v>0</v>
      </c>
      <c r="T25" s="128">
        <f t="shared" ref="T25:U25" si="3">SUM(T9:T24)</f>
        <v>1.8952414393424988E-7</v>
      </c>
      <c r="U25" s="146">
        <f t="shared" si="3"/>
        <v>152470.95999855586</v>
      </c>
    </row>
    <row r="26" spans="1:21" x14ac:dyDescent="0.2">
      <c r="A26" s="53"/>
      <c r="B26" s="50"/>
      <c r="C26" s="53"/>
      <c r="D26" s="53"/>
      <c r="E26" s="53"/>
      <c r="F26" s="50"/>
      <c r="G26" s="50"/>
    </row>
    <row r="27" spans="1:21" ht="29.25" customHeight="1" x14ac:dyDescent="0.2">
      <c r="A27" s="11"/>
      <c r="B27" s="164" t="s">
        <v>81</v>
      </c>
      <c r="C27" s="164"/>
      <c r="D27" s="164"/>
      <c r="E27" s="164"/>
      <c r="F27" s="164"/>
      <c r="G27" s="74"/>
    </row>
    <row r="28" spans="1:21" x14ac:dyDescent="0.2">
      <c r="A28" s="53"/>
      <c r="B28" s="50"/>
      <c r="C28" s="53"/>
      <c r="D28" s="53"/>
      <c r="E28" s="133"/>
      <c r="F28" s="50"/>
      <c r="G28" s="50"/>
    </row>
    <row r="29" spans="1:21" ht="29.25" customHeight="1" x14ac:dyDescent="0.2">
      <c r="B29" s="164" t="str">
        <f>"GENERAL OPERATIONS" &amp; " YTD EXPENSES"&amp;CHAR(10)&amp;TEXT(C6,"$#,##0")</f>
        <v>GENERAL OPERATIONS YTD EXPENSES
$303,419,097</v>
      </c>
      <c r="C29" s="164"/>
      <c r="D29" s="164"/>
      <c r="E29" s="164"/>
      <c r="F29" s="164"/>
      <c r="G29" s="74"/>
      <c r="H29" s="132" t="s">
        <v>82</v>
      </c>
    </row>
    <row r="30" spans="1:21" x14ac:dyDescent="0.2">
      <c r="A30" s="53"/>
      <c r="B30" s="50"/>
      <c r="C30" s="53"/>
      <c r="D30" s="53"/>
      <c r="E30" s="53"/>
      <c r="F30" s="50"/>
      <c r="G30" s="50"/>
    </row>
    <row r="31" spans="1:21" x14ac:dyDescent="0.2">
      <c r="A31" s="53"/>
      <c r="B31" s="50">
        <v>1197491160.8699994</v>
      </c>
      <c r="C31" s="53">
        <v>1139032581.8400021</v>
      </c>
      <c r="D31" s="53"/>
      <c r="E31" s="53"/>
      <c r="F31" s="50"/>
      <c r="G31" s="50"/>
    </row>
    <row r="32" spans="1:21" x14ac:dyDescent="0.2">
      <c r="A32" s="53"/>
      <c r="B32" s="50"/>
      <c r="C32" s="53"/>
      <c r="D32" s="53"/>
      <c r="E32" s="50"/>
      <c r="F32" s="50"/>
      <c r="G32" s="50"/>
    </row>
    <row r="33" spans="1:21" x14ac:dyDescent="0.2">
      <c r="A33" s="75"/>
      <c r="B33" s="76"/>
      <c r="C33" s="75"/>
      <c r="D33" s="75"/>
      <c r="E33" s="75"/>
      <c r="F33" s="76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x14ac:dyDescent="0.2">
      <c r="A35" s="53"/>
      <c r="B35" s="50"/>
      <c r="C35" s="53"/>
      <c r="D35" s="53"/>
      <c r="E35" s="53"/>
      <c r="F35" s="50"/>
      <c r="G35" s="50"/>
    </row>
    <row r="36" spans="1:21" ht="13.5" thickBot="1" x14ac:dyDescent="0.25"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A37" s="165" t="s">
        <v>61</v>
      </c>
      <c r="B37" s="166"/>
      <c r="C37" s="166"/>
      <c r="D37" s="166"/>
      <c r="E37" s="166"/>
      <c r="F37" s="167"/>
      <c r="G37" s="53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13.5" thickBot="1" x14ac:dyDescent="0.25">
      <c r="B38" s="51"/>
      <c r="D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ht="26.25" thickBot="1" x14ac:dyDescent="0.25">
      <c r="B39" s="79" t="s">
        <v>62</v>
      </c>
      <c r="C39" s="80" t="s">
        <v>63</v>
      </c>
      <c r="D39" s="81" t="s">
        <v>64</v>
      </c>
      <c r="E39" s="82" t="s">
        <v>45</v>
      </c>
      <c r="F39" s="83" t="s">
        <v>46</v>
      </c>
      <c r="G39" s="83" t="s">
        <v>47</v>
      </c>
      <c r="H39" s="83" t="s">
        <v>48</v>
      </c>
      <c r="I39" s="83" t="s">
        <v>49</v>
      </c>
      <c r="J39" s="83" t="s">
        <v>50</v>
      </c>
      <c r="K39" s="83" t="s">
        <v>51</v>
      </c>
      <c r="L39" s="83" t="s">
        <v>52</v>
      </c>
      <c r="M39" s="83" t="s">
        <v>53</v>
      </c>
      <c r="N39" s="83" t="s">
        <v>54</v>
      </c>
      <c r="O39" s="83" t="s">
        <v>55</v>
      </c>
      <c r="P39" s="84" t="s">
        <v>56</v>
      </c>
      <c r="Q39" s="52"/>
      <c r="R39" s="85"/>
      <c r="S39" s="134"/>
      <c r="T39" s="134"/>
    </row>
    <row r="40" spans="1:21" s="85" customFormat="1" x14ac:dyDescent="0.2">
      <c r="A40" s="85" t="s">
        <v>8</v>
      </c>
      <c r="B40" s="86">
        <v>800454885.07000005</v>
      </c>
      <c r="C40" s="87">
        <f>SUM(E40:P40)</f>
        <v>431128887.53999996</v>
      </c>
      <c r="D40" s="88">
        <f>C40/B40</f>
        <v>0.53860485529087321</v>
      </c>
      <c r="E40" s="135">
        <v>283416.8200000003</v>
      </c>
      <c r="F40" s="135">
        <v>23622403.879999999</v>
      </c>
      <c r="G40" s="135">
        <v>232065648.81</v>
      </c>
      <c r="H40" s="135">
        <v>175157418.03</v>
      </c>
      <c r="I40" s="135"/>
      <c r="J40" s="135"/>
      <c r="K40" s="135"/>
      <c r="L40" s="135"/>
      <c r="M40" s="135"/>
      <c r="N40" s="135"/>
      <c r="O40" s="135"/>
      <c r="P40" s="135"/>
      <c r="R40" s="142"/>
      <c r="S40" s="152">
        <v>431128887.54000002</v>
      </c>
      <c r="T40" s="134">
        <f>S40-C40</f>
        <v>0</v>
      </c>
      <c r="U40" s="147">
        <v>0</v>
      </c>
    </row>
    <row r="41" spans="1:21" s="85" customFormat="1" x14ac:dyDescent="0.2">
      <c r="A41" s="85" t="s">
        <v>9</v>
      </c>
      <c r="B41" s="89">
        <v>90000</v>
      </c>
      <c r="C41" s="90">
        <f>SUM(E41:P41)</f>
        <v>1305059.69</v>
      </c>
      <c r="D41" s="91">
        <f>C41/B41</f>
        <v>14.500663222222222</v>
      </c>
      <c r="E41" s="136">
        <v>186624.72</v>
      </c>
      <c r="F41" s="136">
        <v>225298.27</v>
      </c>
      <c r="G41" s="136">
        <v>278710.13</v>
      </c>
      <c r="H41" s="136">
        <v>614426.56999999995</v>
      </c>
      <c r="I41" s="136"/>
      <c r="J41" s="136"/>
      <c r="K41" s="136"/>
      <c r="L41" s="136"/>
      <c r="M41" s="136"/>
      <c r="N41" s="136"/>
      <c r="O41" s="136"/>
      <c r="P41" s="136"/>
      <c r="R41" s="142"/>
      <c r="S41" s="152">
        <v>1305059.69</v>
      </c>
      <c r="T41" s="134">
        <f t="shared" ref="T41:T43" si="4">S41-C41</f>
        <v>0</v>
      </c>
      <c r="U41" s="147">
        <v>0</v>
      </c>
    </row>
    <row r="42" spans="1:21" s="85" customFormat="1" x14ac:dyDescent="0.2">
      <c r="A42" s="85" t="s">
        <v>10</v>
      </c>
      <c r="B42" s="89">
        <v>503516459.86999995</v>
      </c>
      <c r="C42" s="90">
        <f>SUM(E42:P42)</f>
        <v>108450509.27000001</v>
      </c>
      <c r="D42" s="91">
        <f>C42/B42</f>
        <v>0.21538622450992015</v>
      </c>
      <c r="E42" s="136">
        <v>5367835.4800000004</v>
      </c>
      <c r="F42" s="136">
        <f>5752262.79+40986.0000000074</f>
        <v>5793248.7900000075</v>
      </c>
      <c r="G42" s="136">
        <v>48556637</v>
      </c>
      <c r="H42" s="136">
        <v>48732788</v>
      </c>
      <c r="I42" s="136"/>
      <c r="J42" s="136"/>
      <c r="K42" s="136"/>
      <c r="L42" s="136"/>
      <c r="M42" s="136"/>
      <c r="N42" s="136"/>
      <c r="O42" s="136"/>
      <c r="P42" s="136"/>
      <c r="R42" s="142"/>
      <c r="S42" s="152">
        <v>108450509.27000001</v>
      </c>
      <c r="T42" s="134">
        <f t="shared" si="4"/>
        <v>0</v>
      </c>
      <c r="U42" s="147">
        <v>0</v>
      </c>
    </row>
    <row r="43" spans="1:21" s="85" customFormat="1" ht="13.5" thickBot="1" x14ac:dyDescent="0.25">
      <c r="A43" s="85" t="s">
        <v>11</v>
      </c>
      <c r="B43" s="92">
        <v>1448256</v>
      </c>
      <c r="C43" s="90">
        <f>SUM(E43:P43)</f>
        <v>9801</v>
      </c>
      <c r="D43" s="93">
        <f>C43/B43</f>
        <v>6.7674499535993636E-3</v>
      </c>
      <c r="E43" s="137">
        <v>0</v>
      </c>
      <c r="F43" s="137">
        <v>9801</v>
      </c>
      <c r="G43" s="137">
        <v>0</v>
      </c>
      <c r="H43" s="137">
        <v>0</v>
      </c>
      <c r="I43" s="137"/>
      <c r="J43" s="137"/>
      <c r="K43" s="137"/>
      <c r="L43" s="137"/>
      <c r="M43" s="137"/>
      <c r="N43" s="137"/>
      <c r="O43" s="137"/>
      <c r="P43" s="137"/>
      <c r="R43" s="143"/>
      <c r="S43" s="152">
        <v>9801</v>
      </c>
      <c r="T43" s="134">
        <f t="shared" si="4"/>
        <v>0</v>
      </c>
      <c r="U43" s="147">
        <v>0</v>
      </c>
    </row>
    <row r="44" spans="1:21" s="94" customFormat="1" ht="12.75" customHeight="1" thickBot="1" x14ac:dyDescent="0.25">
      <c r="B44" s="95">
        <f>SUM(B40:B43)</f>
        <v>1305509600.9400001</v>
      </c>
      <c r="C44" s="96">
        <f>SUM(C40:C43)</f>
        <v>540894257.5</v>
      </c>
      <c r="D44" s="97">
        <f>C44/B44</f>
        <v>0.41431656811297474</v>
      </c>
      <c r="E44" s="98">
        <f>SUM(E40:E43)</f>
        <v>5837877.0200000005</v>
      </c>
      <c r="F44" s="99">
        <f t="shared" ref="F44:P44" si="5">SUM(F40:F43)</f>
        <v>29650751.940000005</v>
      </c>
      <c r="G44" s="99">
        <f t="shared" si="5"/>
        <v>280900995.94</v>
      </c>
      <c r="H44" s="99">
        <f t="shared" si="5"/>
        <v>224504632.59999999</v>
      </c>
      <c r="I44" s="99">
        <f t="shared" si="5"/>
        <v>0</v>
      </c>
      <c r="J44" s="99">
        <f t="shared" si="5"/>
        <v>0</v>
      </c>
      <c r="K44" s="99">
        <f t="shared" si="5"/>
        <v>0</v>
      </c>
      <c r="L44" s="99">
        <f t="shared" si="5"/>
        <v>0</v>
      </c>
      <c r="M44" s="99">
        <f t="shared" si="5"/>
        <v>0</v>
      </c>
      <c r="N44" s="99">
        <f t="shared" si="5"/>
        <v>0</v>
      </c>
      <c r="O44" s="99">
        <f t="shared" si="5"/>
        <v>0</v>
      </c>
      <c r="P44" s="99">
        <f t="shared" si="5"/>
        <v>0</v>
      </c>
      <c r="Q44" s="52"/>
      <c r="R44" s="51"/>
      <c r="S44" s="100"/>
      <c r="T44" s="100"/>
      <c r="U44" s="148"/>
    </row>
    <row r="45" spans="1:21" ht="13.5" thickBot="1" x14ac:dyDescent="0.25">
      <c r="B45" s="51"/>
      <c r="C45" s="100"/>
      <c r="E45" s="51"/>
      <c r="L45" s="52"/>
      <c r="M45" s="52"/>
      <c r="N45" s="52"/>
      <c r="O45" s="52"/>
      <c r="P45" s="52"/>
      <c r="Q45" s="52"/>
    </row>
    <row r="46" spans="1:21" s="94" customFormat="1" ht="12.75" customHeight="1" x14ac:dyDescent="0.2">
      <c r="A46" s="101" t="s">
        <v>65</v>
      </c>
      <c r="B46" s="102">
        <f>+B40+B41+B43</f>
        <v>801993141.07000005</v>
      </c>
      <c r="C46" s="87">
        <f>+C40+C41+C43</f>
        <v>432443748.22999996</v>
      </c>
      <c r="D46" s="103">
        <f>C46/B46</f>
        <v>0.53921128010277475</v>
      </c>
      <c r="E46" s="104">
        <f>+E40+E41+E43</f>
        <v>470041.54000000027</v>
      </c>
      <c r="F46" s="104">
        <f t="shared" ref="F46:P46" si="6">+F40+F41+F43</f>
        <v>23857503.149999999</v>
      </c>
      <c r="G46" s="104">
        <f t="shared" si="6"/>
        <v>232344358.94</v>
      </c>
      <c r="H46" s="104">
        <f t="shared" si="6"/>
        <v>175771844.59999999</v>
      </c>
      <c r="I46" s="104">
        <f t="shared" si="6"/>
        <v>0</v>
      </c>
      <c r="J46" s="104">
        <f t="shared" si="6"/>
        <v>0</v>
      </c>
      <c r="K46" s="104">
        <f t="shared" si="6"/>
        <v>0</v>
      </c>
      <c r="L46" s="104">
        <f t="shared" si="6"/>
        <v>0</v>
      </c>
      <c r="M46" s="104">
        <f t="shared" si="6"/>
        <v>0</v>
      </c>
      <c r="N46" s="104">
        <f t="shared" si="6"/>
        <v>0</v>
      </c>
      <c r="O46" s="104">
        <f t="shared" si="6"/>
        <v>0</v>
      </c>
      <c r="P46" s="104">
        <f t="shared" si="6"/>
        <v>0</v>
      </c>
      <c r="Q46" s="52"/>
      <c r="R46" s="52"/>
      <c r="S46" s="100"/>
      <c r="T46" s="100"/>
      <c r="U46" s="148"/>
    </row>
    <row r="47" spans="1:21" s="94" customFormat="1" ht="12.75" customHeight="1" thickBot="1" x14ac:dyDescent="0.25">
      <c r="A47" s="101" t="s">
        <v>66</v>
      </c>
      <c r="B47" s="105">
        <f>B42</f>
        <v>503516459.86999995</v>
      </c>
      <c r="C47" s="106">
        <f>C71</f>
        <v>108450509.27000001</v>
      </c>
      <c r="D47" s="107">
        <f>C47/B47</f>
        <v>0.21538622450992015</v>
      </c>
      <c r="E47" s="108">
        <f>E42</f>
        <v>5367835.4800000004</v>
      </c>
      <c r="F47" s="108">
        <f t="shared" ref="F47:P47" si="7">F42</f>
        <v>5793248.7900000075</v>
      </c>
      <c r="G47" s="108">
        <f t="shared" si="7"/>
        <v>48556637</v>
      </c>
      <c r="H47" s="108">
        <f t="shared" si="7"/>
        <v>48732788</v>
      </c>
      <c r="I47" s="108">
        <f t="shared" si="7"/>
        <v>0</v>
      </c>
      <c r="J47" s="108">
        <f t="shared" si="7"/>
        <v>0</v>
      </c>
      <c r="K47" s="108">
        <f t="shared" si="7"/>
        <v>0</v>
      </c>
      <c r="L47" s="108">
        <f t="shared" si="7"/>
        <v>0</v>
      </c>
      <c r="M47" s="108">
        <f t="shared" si="7"/>
        <v>0</v>
      </c>
      <c r="N47" s="108">
        <f t="shared" si="7"/>
        <v>0</v>
      </c>
      <c r="O47" s="108">
        <f t="shared" si="7"/>
        <v>0</v>
      </c>
      <c r="P47" s="108">
        <f t="shared" si="7"/>
        <v>0</v>
      </c>
      <c r="Q47" s="52"/>
      <c r="R47" s="52"/>
      <c r="S47" s="100"/>
      <c r="T47" s="100"/>
      <c r="U47" s="148"/>
    </row>
    <row r="48" spans="1:21" s="94" customFormat="1" ht="12.75" customHeight="1" thickBot="1" x14ac:dyDescent="0.25">
      <c r="B48" s="95">
        <f>SUM(B46:B47)</f>
        <v>1305509600.9400001</v>
      </c>
      <c r="C48" s="109">
        <f>SUM(E48:P48)</f>
        <v>540894257.5</v>
      </c>
      <c r="D48" s="110">
        <f>C48/B48</f>
        <v>0.41431656811297474</v>
      </c>
      <c r="E48" s="111">
        <f>+E46+E47</f>
        <v>5837877.0200000005</v>
      </c>
      <c r="F48" s="112">
        <f t="shared" ref="F48:P48" si="8">+F46+F47</f>
        <v>29650751.940000005</v>
      </c>
      <c r="G48" s="112">
        <f t="shared" si="8"/>
        <v>280900995.94</v>
      </c>
      <c r="H48" s="112">
        <f t="shared" si="8"/>
        <v>224504632.59999999</v>
      </c>
      <c r="I48" s="112">
        <f t="shared" si="8"/>
        <v>0</v>
      </c>
      <c r="J48" s="112">
        <f t="shared" si="8"/>
        <v>0</v>
      </c>
      <c r="K48" s="112">
        <f t="shared" si="8"/>
        <v>0</v>
      </c>
      <c r="L48" s="112">
        <f t="shared" si="8"/>
        <v>0</v>
      </c>
      <c r="M48" s="112">
        <f t="shared" si="8"/>
        <v>0</v>
      </c>
      <c r="N48" s="112">
        <f t="shared" si="8"/>
        <v>0</v>
      </c>
      <c r="O48" s="112">
        <f t="shared" si="8"/>
        <v>0</v>
      </c>
      <c r="P48" s="113">
        <f t="shared" si="8"/>
        <v>0</v>
      </c>
      <c r="Q48" s="52"/>
      <c r="R48" s="52"/>
      <c r="S48" s="100"/>
      <c r="T48" s="100"/>
      <c r="U48" s="148"/>
    </row>
    <row r="49" spans="1:21" s="94" customFormat="1" ht="12.75" customHeight="1" thickBo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00"/>
      <c r="T49" s="100"/>
      <c r="U49" s="148"/>
    </row>
    <row r="50" spans="1:21" s="94" customFormat="1" ht="12.75" customHeight="1" thickBot="1" x14ac:dyDescent="0.25">
      <c r="C50" s="157" t="s">
        <v>67</v>
      </c>
      <c r="D50" s="158"/>
      <c r="E50" s="114" t="s">
        <v>45</v>
      </c>
      <c r="F50" s="115" t="s">
        <v>46</v>
      </c>
      <c r="G50" s="115" t="s">
        <v>47</v>
      </c>
      <c r="H50" s="115" t="s">
        <v>48</v>
      </c>
      <c r="I50" s="115" t="s">
        <v>49</v>
      </c>
      <c r="J50" s="115" t="s">
        <v>50</v>
      </c>
      <c r="K50" s="115" t="s">
        <v>51</v>
      </c>
      <c r="L50" s="115" t="s">
        <v>52</v>
      </c>
      <c r="M50" s="115" t="s">
        <v>53</v>
      </c>
      <c r="N50" s="115" t="s">
        <v>54</v>
      </c>
      <c r="O50" s="115" t="s">
        <v>55</v>
      </c>
      <c r="P50" s="55" t="s">
        <v>56</v>
      </c>
      <c r="Q50" s="52"/>
      <c r="R50" s="52"/>
      <c r="S50" s="100"/>
      <c r="T50" s="100"/>
      <c r="U50" s="148"/>
    </row>
    <row r="51" spans="1:21" s="94" customFormat="1" ht="12.75" customHeight="1" x14ac:dyDescent="0.2">
      <c r="C51" s="116" t="s">
        <v>65</v>
      </c>
      <c r="D51" s="52"/>
      <c r="E51" s="51">
        <f>E46</f>
        <v>470041.54000000027</v>
      </c>
      <c r="F51" s="51">
        <f>E51+F46</f>
        <v>24327544.689999998</v>
      </c>
      <c r="G51" s="51">
        <f t="shared" ref="G51:P52" si="9">F51+G46</f>
        <v>256671903.63</v>
      </c>
      <c r="H51" s="51">
        <f t="shared" si="9"/>
        <v>432443748.23000002</v>
      </c>
      <c r="I51" s="51">
        <f t="shared" si="9"/>
        <v>432443748.23000002</v>
      </c>
      <c r="J51" s="51">
        <f t="shared" si="9"/>
        <v>432443748.23000002</v>
      </c>
      <c r="K51" s="51">
        <f t="shared" si="9"/>
        <v>432443748.23000002</v>
      </c>
      <c r="L51" s="51">
        <f t="shared" si="9"/>
        <v>432443748.23000002</v>
      </c>
      <c r="M51" s="51">
        <f t="shared" si="9"/>
        <v>432443748.23000002</v>
      </c>
      <c r="N51" s="51">
        <f t="shared" si="9"/>
        <v>432443748.23000002</v>
      </c>
      <c r="O51" s="51">
        <f t="shared" si="9"/>
        <v>432443748.23000002</v>
      </c>
      <c r="P51" s="51">
        <f t="shared" si="9"/>
        <v>432443748.23000002</v>
      </c>
      <c r="Q51" s="52"/>
      <c r="R51" s="52"/>
      <c r="S51" s="100"/>
      <c r="T51" s="100"/>
      <c r="U51" s="148"/>
    </row>
    <row r="52" spans="1:21" s="94" customFormat="1" ht="12.75" customHeight="1" thickBot="1" x14ac:dyDescent="0.25">
      <c r="C52" s="116" t="s">
        <v>66</v>
      </c>
      <c r="D52" s="52"/>
      <c r="E52" s="51">
        <f>E47</f>
        <v>5367835.4800000004</v>
      </c>
      <c r="F52" s="51">
        <f>E52+F47</f>
        <v>11161084.270000007</v>
      </c>
      <c r="G52" s="51">
        <f t="shared" si="9"/>
        <v>59717721.270000011</v>
      </c>
      <c r="H52" s="51">
        <f t="shared" si="9"/>
        <v>108450509.27000001</v>
      </c>
      <c r="I52" s="51">
        <f t="shared" si="9"/>
        <v>108450509.27000001</v>
      </c>
      <c r="J52" s="51">
        <f t="shared" si="9"/>
        <v>108450509.27000001</v>
      </c>
      <c r="K52" s="51">
        <f t="shared" si="9"/>
        <v>108450509.27000001</v>
      </c>
      <c r="L52" s="51">
        <f t="shared" si="9"/>
        <v>108450509.27000001</v>
      </c>
      <c r="M52" s="51">
        <f t="shared" si="9"/>
        <v>108450509.27000001</v>
      </c>
      <c r="N52" s="51">
        <f t="shared" si="9"/>
        <v>108450509.27000001</v>
      </c>
      <c r="O52" s="51">
        <f t="shared" si="9"/>
        <v>108450509.27000001</v>
      </c>
      <c r="P52" s="51">
        <f t="shared" si="9"/>
        <v>108450509.27000001</v>
      </c>
      <c r="Q52" s="52"/>
      <c r="R52" s="52"/>
      <c r="S52" s="100"/>
      <c r="T52" s="100"/>
      <c r="U52" s="148"/>
    </row>
    <row r="53" spans="1:21" s="94" customFormat="1" ht="12.75" customHeight="1" thickBot="1" x14ac:dyDescent="0.25">
      <c r="C53" s="117" t="s">
        <v>68</v>
      </c>
      <c r="D53" s="52"/>
      <c r="E53" s="118">
        <f>+E51+E52</f>
        <v>5837877.0200000005</v>
      </c>
      <c r="F53" s="118">
        <f t="shared" ref="F53:P53" si="10">+F51+F52</f>
        <v>35488628.960000008</v>
      </c>
      <c r="G53" s="118">
        <f t="shared" si="10"/>
        <v>316389624.89999998</v>
      </c>
      <c r="H53" s="118">
        <f t="shared" si="10"/>
        <v>540894257.5</v>
      </c>
      <c r="I53" s="118">
        <f t="shared" si="10"/>
        <v>540894257.5</v>
      </c>
      <c r="J53" s="118">
        <f t="shared" si="10"/>
        <v>540894257.5</v>
      </c>
      <c r="K53" s="118">
        <f t="shared" si="10"/>
        <v>540894257.5</v>
      </c>
      <c r="L53" s="118">
        <f t="shared" si="10"/>
        <v>540894257.5</v>
      </c>
      <c r="M53" s="118">
        <f t="shared" si="10"/>
        <v>540894257.5</v>
      </c>
      <c r="N53" s="118">
        <f t="shared" si="10"/>
        <v>540894257.5</v>
      </c>
      <c r="O53" s="118">
        <f t="shared" si="10"/>
        <v>540894257.5</v>
      </c>
      <c r="P53" s="118">
        <f t="shared" si="10"/>
        <v>540894257.5</v>
      </c>
      <c r="Q53" s="52"/>
      <c r="R53" s="52"/>
      <c r="S53" s="100"/>
      <c r="T53" s="100"/>
      <c r="U53" s="148"/>
    </row>
    <row r="54" spans="1:21" s="94" customFormat="1" ht="12.75" customHeight="1" x14ac:dyDescent="0.2">
      <c r="C54" s="1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00"/>
      <c r="T54" s="100"/>
      <c r="U54" s="148"/>
    </row>
    <row r="55" spans="1:21" ht="38.25" x14ac:dyDescent="0.2">
      <c r="A55" s="100"/>
      <c r="B55" s="149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$801,993,141  Actual: $432,443,748  53.92%
(STATE)  Budgeted: $503,516,460  Actual: $108,450,509   21.54%
TOTAL Budgeted: $1,305,509,601  Actual: $540,894,258   41.43%</v>
      </c>
      <c r="C55" s="149"/>
      <c r="D55" s="149"/>
      <c r="E55" s="149"/>
      <c r="F55" s="149"/>
      <c r="G55" s="149"/>
      <c r="H55" s="149"/>
      <c r="I55" s="149"/>
      <c r="J55" s="149"/>
      <c r="K55" s="149"/>
      <c r="Q55" s="52"/>
      <c r="R55" s="150" t="s">
        <v>83</v>
      </c>
      <c r="T55" s="144"/>
      <c r="U55" s="144"/>
    </row>
    <row r="56" spans="1:21" x14ac:dyDescent="0.2">
      <c r="B56" s="156" t="str">
        <f>"(STATE)" &amp; CHAR(9) &amp; "Budgeted: " &amp; TEXT(B47,"$#,##0") &amp; CHAR(9) &amp; "Actual: " &amp; TEXT(C47,"$#,##0") &amp; "   " &amp; TEXT(D47,"###.00%")</f>
        <v>(STATE)	Budgeted: $503,516,460	Actual: $108,450,509   21.54%</v>
      </c>
      <c r="C56" s="156"/>
      <c r="D56" s="156"/>
      <c r="E56" s="156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2"/>
    </row>
    <row r="57" spans="1:21" x14ac:dyDescent="0.2">
      <c r="B57" s="156" t="str">
        <f>"TOTAL Budgeted: " &amp; TEXT(B48,"$#,##0") &amp; CHAR(9) &amp; "Actual: " &amp; TEXT(C48,"$#,##0") &amp; "   " &amp; TEXT(D48,"###.00%")</f>
        <v>TOTAL Budgeted: $1,305,509,601	Actual: $540,894,258   41.43%</v>
      </c>
      <c r="C57" s="156"/>
      <c r="D57" s="156"/>
      <c r="E57" s="156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x14ac:dyDescent="0.2">
      <c r="B58" s="120"/>
      <c r="C58" s="12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1"/>
    </row>
    <row r="59" spans="1:21" ht="13.5" thickBot="1" x14ac:dyDescent="0.25">
      <c r="B59" s="51"/>
      <c r="C59" s="100"/>
      <c r="E59" s="51"/>
      <c r="L59" s="52"/>
      <c r="M59" s="52"/>
      <c r="N59" s="52"/>
      <c r="O59" s="52"/>
      <c r="P59" s="52"/>
      <c r="Q59" s="52"/>
    </row>
    <row r="60" spans="1:21" s="100" customFormat="1" ht="26.25" thickBot="1" x14ac:dyDescent="0.25">
      <c r="A60" s="122" t="s">
        <v>36</v>
      </c>
      <c r="B60" s="123" t="s">
        <v>37</v>
      </c>
      <c r="P60" s="52"/>
      <c r="Q60" s="52"/>
      <c r="R60" s="52"/>
      <c r="U60" s="145"/>
    </row>
    <row r="61" spans="1:21" s="100" customFormat="1" x14ac:dyDescent="0.2">
      <c r="A61" s="124" t="s">
        <v>8</v>
      </c>
      <c r="B61" s="125">
        <v>800454885.07000005</v>
      </c>
      <c r="C61" s="51"/>
      <c r="N61" s="126"/>
      <c r="O61" s="52"/>
      <c r="P61" s="52"/>
      <c r="Q61" s="52"/>
      <c r="R61" s="52"/>
      <c r="U61" s="145"/>
    </row>
    <row r="62" spans="1:21" x14ac:dyDescent="0.2">
      <c r="A62" s="124" t="s">
        <v>9</v>
      </c>
      <c r="B62" s="125">
        <v>90000</v>
      </c>
      <c r="C62" s="51"/>
      <c r="E62" s="51"/>
      <c r="G62" s="100"/>
      <c r="I62" s="100"/>
      <c r="J62" s="100"/>
      <c r="K62" s="100"/>
      <c r="L62" s="100"/>
      <c r="M62" s="52"/>
      <c r="N62" s="126"/>
      <c r="O62" s="127"/>
      <c r="P62" s="52"/>
      <c r="Q62" s="52"/>
    </row>
    <row r="63" spans="1:21" x14ac:dyDescent="0.2">
      <c r="A63" s="124" t="s">
        <v>10</v>
      </c>
      <c r="B63" s="125">
        <v>503516459.86999995</v>
      </c>
      <c r="C63" s="51"/>
      <c r="E63" s="51"/>
      <c r="G63" s="100"/>
      <c r="I63" s="100"/>
      <c r="J63" s="100"/>
      <c r="K63" s="100"/>
      <c r="L63" s="100"/>
      <c r="M63" s="52"/>
      <c r="N63" s="126"/>
      <c r="O63" s="127"/>
      <c r="P63" s="52"/>
      <c r="Q63" s="52"/>
    </row>
    <row r="64" spans="1:21" ht="13.5" thickBot="1" x14ac:dyDescent="0.25">
      <c r="A64" s="124" t="s">
        <v>11</v>
      </c>
      <c r="B64" s="125">
        <v>1448256</v>
      </c>
      <c r="C64" s="51"/>
      <c r="E64" s="51"/>
      <c r="G64" s="100"/>
      <c r="I64" s="100"/>
      <c r="J64" s="100"/>
      <c r="K64" s="100"/>
      <c r="L64" s="100"/>
      <c r="M64" s="52"/>
      <c r="N64" s="126"/>
      <c r="O64" s="127"/>
      <c r="P64" s="52"/>
      <c r="Q64" s="52"/>
    </row>
    <row r="65" spans="1:20" ht="13.5" thickBot="1" x14ac:dyDescent="0.25">
      <c r="A65" s="128" t="s">
        <v>69</v>
      </c>
      <c r="B65" s="129">
        <f>SUM(B61:B64)</f>
        <v>1305509600.9400001</v>
      </c>
      <c r="C65" s="100"/>
      <c r="D65" s="100"/>
      <c r="E65" s="51"/>
      <c r="G65" s="100"/>
      <c r="H65" s="51" t="str">
        <f xml:space="preserve"> CHAR(9)</f>
        <v xml:space="preserve">	</v>
      </c>
      <c r="I65" s="100"/>
      <c r="J65" s="100"/>
      <c r="K65" s="100"/>
      <c r="L65" s="100"/>
      <c r="M65" s="100"/>
      <c r="N65" s="52"/>
      <c r="O65" s="126"/>
      <c r="P65" s="127"/>
      <c r="Q65" s="52"/>
    </row>
    <row r="66" spans="1:20" x14ac:dyDescent="0.2">
      <c r="C66" s="100"/>
      <c r="D66" s="100"/>
      <c r="E66" s="51"/>
      <c r="G66" s="100"/>
      <c r="I66" s="100"/>
      <c r="J66" s="100"/>
      <c r="K66" s="100"/>
      <c r="L66" s="100"/>
      <c r="M66" s="52"/>
      <c r="N66" s="126"/>
      <c r="O66" s="127"/>
      <c r="P66" s="52"/>
      <c r="Q66" s="52"/>
    </row>
    <row r="67" spans="1:20" ht="13.5" thickBot="1" x14ac:dyDescent="0.25">
      <c r="C67" s="51"/>
      <c r="D67" s="100"/>
      <c r="E67" s="51"/>
      <c r="I67" s="100"/>
      <c r="J67" s="100"/>
      <c r="K67" s="100"/>
      <c r="L67" s="100"/>
      <c r="M67" s="100"/>
      <c r="N67" s="52"/>
      <c r="O67" s="126"/>
      <c r="P67" s="127"/>
      <c r="Q67" s="52"/>
    </row>
    <row r="68" spans="1:20" ht="26.25" thickBot="1" x14ac:dyDescent="0.25">
      <c r="B68" s="117" t="s">
        <v>71</v>
      </c>
      <c r="C68" s="130" t="s">
        <v>70</v>
      </c>
      <c r="D68" s="100"/>
      <c r="E68" s="51"/>
      <c r="G68" s="100"/>
      <c r="H68" s="100"/>
      <c r="I68" s="100"/>
      <c r="J68" s="100"/>
      <c r="K68" s="100"/>
      <c r="L68" s="100"/>
      <c r="M68" s="52"/>
      <c r="N68" s="126"/>
      <c r="O68" s="127"/>
      <c r="P68" s="52"/>
      <c r="Q68" s="52"/>
    </row>
    <row r="69" spans="1:20" x14ac:dyDescent="0.2">
      <c r="A69" s="100" t="s">
        <v>8</v>
      </c>
      <c r="B69" s="51">
        <v>800454885.07000005</v>
      </c>
      <c r="C69" s="51">
        <v>431128887.53999996</v>
      </c>
      <c r="D69" s="100"/>
      <c r="E69" s="51"/>
      <c r="G69" s="100"/>
      <c r="H69" s="100"/>
      <c r="I69" s="100"/>
      <c r="J69" s="100"/>
      <c r="K69" s="100"/>
      <c r="L69" s="100"/>
      <c r="M69" s="52"/>
      <c r="N69" s="126"/>
      <c r="O69" s="127"/>
      <c r="P69" s="52"/>
      <c r="Q69" s="52"/>
    </row>
    <row r="70" spans="1:20" x14ac:dyDescent="0.2">
      <c r="A70" s="100" t="s">
        <v>9</v>
      </c>
      <c r="B70" s="51">
        <v>90000</v>
      </c>
      <c r="C70" s="51">
        <v>1305059.69</v>
      </c>
      <c r="D70" s="100"/>
      <c r="E70" s="51"/>
      <c r="G70" s="100"/>
      <c r="H70" s="100"/>
      <c r="I70" s="100"/>
      <c r="J70" s="100"/>
      <c r="K70" s="100"/>
      <c r="L70" s="100"/>
      <c r="M70" s="52"/>
      <c r="N70" s="126"/>
      <c r="O70" s="127"/>
      <c r="P70" s="52"/>
      <c r="Q70" s="52"/>
    </row>
    <row r="71" spans="1:20" x14ac:dyDescent="0.2">
      <c r="A71" s="100" t="s">
        <v>10</v>
      </c>
      <c r="B71" s="51">
        <v>503516459.86999995</v>
      </c>
      <c r="C71" s="51">
        <v>108450509.27000001</v>
      </c>
      <c r="D71" s="100"/>
      <c r="E71" s="51"/>
      <c r="G71" s="100"/>
      <c r="H71" s="100"/>
      <c r="I71" s="100"/>
      <c r="J71" s="100"/>
      <c r="K71" s="100"/>
      <c r="L71" s="100"/>
      <c r="M71" s="52"/>
      <c r="N71" s="126"/>
      <c r="O71" s="127"/>
      <c r="P71" s="52"/>
      <c r="Q71" s="52"/>
    </row>
    <row r="72" spans="1:20" x14ac:dyDescent="0.2">
      <c r="A72" s="100" t="s">
        <v>11</v>
      </c>
      <c r="B72" s="51">
        <v>1448256</v>
      </c>
      <c r="C72" s="51">
        <v>9801</v>
      </c>
      <c r="D72" s="100"/>
      <c r="E72" s="51"/>
      <c r="H72" s="100"/>
      <c r="I72" s="100"/>
      <c r="J72" s="100"/>
      <c r="K72" s="100"/>
      <c r="L72" s="100"/>
      <c r="M72" s="52"/>
      <c r="N72" s="126"/>
      <c r="O72" s="127"/>
      <c r="P72" s="52"/>
      <c r="Q72" s="52"/>
    </row>
    <row r="73" spans="1:20" x14ac:dyDescent="0.2">
      <c r="B73" s="51"/>
      <c r="E73" s="51"/>
      <c r="H73" s="100"/>
      <c r="I73" s="100"/>
      <c r="J73" s="100"/>
      <c r="K73" s="100"/>
      <c r="L73" s="100"/>
      <c r="M73" s="52"/>
      <c r="N73" s="126"/>
      <c r="O73" s="127"/>
      <c r="P73" s="52"/>
      <c r="Q73" s="52"/>
    </row>
    <row r="74" spans="1:20" x14ac:dyDescent="0.2">
      <c r="B74" s="51"/>
      <c r="E74" s="51"/>
      <c r="P74" s="52"/>
      <c r="Q74" s="52"/>
    </row>
    <row r="75" spans="1:20" x14ac:dyDescent="0.2">
      <c r="B75" s="51"/>
      <c r="E75" s="51"/>
      <c r="P75" s="52"/>
      <c r="Q75" s="52"/>
    </row>
    <row r="76" spans="1:20" ht="12.75" customHeight="1" x14ac:dyDescent="0.2">
      <c r="C76" s="132"/>
      <c r="D76" s="13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S76" s="52"/>
      <c r="T76" s="52"/>
    </row>
    <row r="77" spans="1:20" x14ac:dyDescent="0.2">
      <c r="E77" s="51"/>
      <c r="P77" s="52"/>
      <c r="Q77" s="52"/>
    </row>
    <row r="78" spans="1:20" x14ac:dyDescent="0.2"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B80" s="51"/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P84" s="52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  <row r="96" spans="5:17" x14ac:dyDescent="0.2">
      <c r="E96" s="51"/>
      <c r="Q96" s="52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8" bestFit="1" customWidth="1"/>
    <col min="14" max="15" width="14.140625" style="138" customWidth="1"/>
    <col min="16" max="16" width="13.7109375" style="138" customWidth="1"/>
    <col min="17" max="16384" width="9.140625" style="1"/>
  </cols>
  <sheetData>
    <row r="1" spans="1:16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6" ht="18.75" x14ac:dyDescent="0.3">
      <c r="A2" s="154" t="s">
        <v>73</v>
      </c>
      <c r="B2" s="154"/>
      <c r="C2" s="154"/>
      <c r="D2" s="154"/>
      <c r="E2" s="154"/>
      <c r="F2" s="154"/>
      <c r="G2" s="154"/>
      <c r="H2" s="154"/>
      <c r="I2" s="154"/>
    </row>
    <row r="3" spans="1:16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6" x14ac:dyDescent="0.25">
      <c r="A4" s="155">
        <v>44865</v>
      </c>
      <c r="B4" s="155"/>
      <c r="C4" s="155"/>
      <c r="D4" s="155"/>
      <c r="E4" s="155"/>
      <c r="F4" s="155"/>
      <c r="G4" s="155"/>
      <c r="H4" s="155"/>
      <c r="I4" s="155"/>
    </row>
    <row r="5" spans="1:16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6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6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</row>
    <row r="8" spans="1:16" s="5" customFormat="1" x14ac:dyDescent="0.2">
      <c r="A8" s="6" t="s">
        <v>8</v>
      </c>
      <c r="B8" s="7">
        <v>11276496.359999999</v>
      </c>
      <c r="C8" s="7">
        <v>11639309.359999999</v>
      </c>
      <c r="D8" s="7">
        <v>2667351.2200000007</v>
      </c>
      <c r="E8" s="7">
        <v>9452111.0600000005</v>
      </c>
      <c r="F8" s="7">
        <v>0</v>
      </c>
      <c r="G8" s="7">
        <f t="shared" ref="G8:G12" si="0">SUM(E8:F8)</f>
        <v>9452111.0600000005</v>
      </c>
      <c r="H8" s="7">
        <f t="shared" ref="H8:H12" si="1">C8-G8</f>
        <v>2187198.2999999989</v>
      </c>
      <c r="I8" s="17">
        <f>IF(C8=0,"",H8/C8)</f>
        <v>0.18791478363111391</v>
      </c>
      <c r="L8" s="139"/>
      <c r="M8" s="139"/>
      <c r="N8" s="139"/>
      <c r="O8" s="139"/>
      <c r="P8" s="139"/>
    </row>
    <row r="9" spans="1:16" s="5" customFormat="1" x14ac:dyDescent="0.2">
      <c r="A9" s="6" t="s">
        <v>9</v>
      </c>
      <c r="B9" s="7">
        <v>58421.71</v>
      </c>
      <c r="C9" s="7">
        <v>58421.71</v>
      </c>
      <c r="D9" s="7">
        <v>700.94</v>
      </c>
      <c r="E9" s="7">
        <v>2145.08</v>
      </c>
      <c r="F9" s="7">
        <v>0</v>
      </c>
      <c r="G9" s="7">
        <f t="shared" si="0"/>
        <v>2145.08</v>
      </c>
      <c r="H9" s="7">
        <f t="shared" si="1"/>
        <v>56276.63</v>
      </c>
      <c r="I9" s="17">
        <f t="shared" ref="I9:I12" si="2">IF(C9=0,"",H9/C9)</f>
        <v>0.96328282756530059</v>
      </c>
      <c r="L9" s="139"/>
      <c r="M9" s="139"/>
      <c r="N9" s="139"/>
      <c r="O9" s="139"/>
      <c r="P9" s="139"/>
    </row>
    <row r="10" spans="1:16" s="5" customFormat="1" x14ac:dyDescent="0.2">
      <c r="A10" s="6" t="s">
        <v>10</v>
      </c>
      <c r="B10" s="7">
        <v>38574052.850000001</v>
      </c>
      <c r="C10" s="7">
        <v>38334118.850000001</v>
      </c>
      <c r="D10" s="7">
        <v>1314144.49</v>
      </c>
      <c r="E10" s="7">
        <v>4079800.18</v>
      </c>
      <c r="F10" s="7">
        <v>0</v>
      </c>
      <c r="G10" s="7">
        <f t="shared" si="0"/>
        <v>4079800.18</v>
      </c>
      <c r="H10" s="7">
        <f t="shared" si="1"/>
        <v>34254318.670000002</v>
      </c>
      <c r="I10" s="17">
        <f t="shared" si="2"/>
        <v>0.89357261096924889</v>
      </c>
      <c r="L10" s="139"/>
      <c r="M10" s="139"/>
      <c r="N10" s="139"/>
      <c r="O10" s="139"/>
      <c r="P10" s="139"/>
    </row>
    <row r="11" spans="1:16" s="5" customFormat="1" x14ac:dyDescent="0.2">
      <c r="A11" s="6" t="s">
        <v>30</v>
      </c>
      <c r="B11" s="7">
        <v>540411756.06999993</v>
      </c>
      <c r="C11" s="7">
        <v>692395791.24999988</v>
      </c>
      <c r="D11" s="7">
        <v>4937151.93</v>
      </c>
      <c r="E11" s="7">
        <v>67055622.800000004</v>
      </c>
      <c r="F11" s="7">
        <v>0</v>
      </c>
      <c r="G11" s="7">
        <f t="shared" si="0"/>
        <v>67055622.800000004</v>
      </c>
      <c r="H11" s="7">
        <f t="shared" si="1"/>
        <v>625340168.44999993</v>
      </c>
      <c r="I11" s="17">
        <f t="shared" si="2"/>
        <v>0.90315420219562181</v>
      </c>
      <c r="L11" s="139"/>
      <c r="M11" s="139"/>
      <c r="N11" s="139"/>
      <c r="O11" s="139"/>
      <c r="P11" s="139"/>
    </row>
    <row r="12" spans="1:16" s="5" customFormat="1" x14ac:dyDescent="0.2">
      <c r="A12" s="8" t="s">
        <v>11</v>
      </c>
      <c r="B12" s="7">
        <v>4134282.88</v>
      </c>
      <c r="C12" s="7">
        <v>4134987.88</v>
      </c>
      <c r="D12" s="7">
        <v>40637.1</v>
      </c>
      <c r="E12" s="7">
        <v>74651.100000000006</v>
      </c>
      <c r="F12" s="7">
        <v>0</v>
      </c>
      <c r="G12" s="7">
        <f t="shared" si="0"/>
        <v>74651.100000000006</v>
      </c>
      <c r="H12" s="7">
        <f t="shared" si="1"/>
        <v>4060336.78</v>
      </c>
      <c r="I12" s="17">
        <f t="shared" si="2"/>
        <v>0.98194647670889901</v>
      </c>
      <c r="L12" s="139"/>
      <c r="M12" s="139"/>
      <c r="N12" s="139"/>
      <c r="O12" s="139"/>
      <c r="P12" s="139"/>
    </row>
    <row r="13" spans="1:16" s="5" customFormat="1" ht="24.95" customHeight="1" x14ac:dyDescent="0.2">
      <c r="A13" s="10" t="s">
        <v>12</v>
      </c>
      <c r="B13" s="11">
        <f>SUM(B8:B12)</f>
        <v>594455009.86999989</v>
      </c>
      <c r="C13" s="11">
        <f t="shared" ref="C13:H13" si="3">SUM(C8:C12)</f>
        <v>746562629.04999983</v>
      </c>
      <c r="D13" s="11">
        <f t="shared" si="3"/>
        <v>8959985.6799999997</v>
      </c>
      <c r="E13" s="11">
        <f t="shared" si="3"/>
        <v>80664330.219999999</v>
      </c>
      <c r="F13" s="11">
        <f t="shared" si="3"/>
        <v>0</v>
      </c>
      <c r="G13" s="11">
        <f t="shared" si="3"/>
        <v>80664330.219999999</v>
      </c>
      <c r="H13" s="11">
        <f t="shared" si="3"/>
        <v>665898298.82999992</v>
      </c>
      <c r="I13" s="12">
        <f>IF(C13=0,"",H13/C13)</f>
        <v>0.89195235994782485</v>
      </c>
      <c r="L13" s="139"/>
      <c r="M13" s="139"/>
      <c r="N13" s="139"/>
      <c r="O13" s="139"/>
      <c r="P13" s="139"/>
    </row>
    <row r="14" spans="1:16" s="5" customFormat="1" x14ac:dyDescent="0.2">
      <c r="A14" s="13" t="s">
        <v>13</v>
      </c>
      <c r="B14" s="14">
        <v>161538504.08000034</v>
      </c>
      <c r="C14" s="14">
        <v>275426564.88000059</v>
      </c>
      <c r="D14" s="14">
        <v>4202688.2499999786</v>
      </c>
      <c r="E14" s="14">
        <v>15126543.120000027</v>
      </c>
      <c r="F14" s="14">
        <v>5258144.1699999971</v>
      </c>
      <c r="G14" s="14">
        <f t="shared" ref="G14:G31" si="4">SUM(E14:F14)</f>
        <v>20384687.290000025</v>
      </c>
      <c r="H14" s="14">
        <f t="shared" ref="H14:H31" si="5">C14-G14</f>
        <v>255041877.59000057</v>
      </c>
      <c r="I14" s="27">
        <f t="shared" ref="I14:I31" si="6">IF(C14=0,"",H14/C14)</f>
        <v>0.92598866671092039</v>
      </c>
      <c r="L14" s="139"/>
      <c r="M14" s="139"/>
      <c r="N14" s="139"/>
      <c r="O14" s="139"/>
      <c r="P14" s="139"/>
    </row>
    <row r="15" spans="1:16" s="5" customFormat="1" x14ac:dyDescent="0.2">
      <c r="A15" s="6" t="s">
        <v>14</v>
      </c>
      <c r="B15" s="7">
        <v>64541459.24999997</v>
      </c>
      <c r="C15" s="7">
        <v>43531792.389999986</v>
      </c>
      <c r="D15" s="7">
        <v>1934907.199999999</v>
      </c>
      <c r="E15" s="7">
        <v>4751593.4400000004</v>
      </c>
      <c r="F15" s="7">
        <v>359729.34000000014</v>
      </c>
      <c r="G15" s="7">
        <f t="shared" si="4"/>
        <v>5111322.78</v>
      </c>
      <c r="H15" s="7">
        <f t="shared" si="5"/>
        <v>38420469.609999985</v>
      </c>
      <c r="I15" s="17">
        <f t="shared" si="6"/>
        <v>0.88258414139698593</v>
      </c>
      <c r="L15" s="139"/>
      <c r="M15" s="139"/>
      <c r="N15" s="139"/>
      <c r="O15" s="139"/>
      <c r="P15" s="139"/>
    </row>
    <row r="16" spans="1:16" s="5" customFormat="1" x14ac:dyDescent="0.2">
      <c r="A16" s="6" t="s">
        <v>15</v>
      </c>
      <c r="B16" s="7">
        <v>30666261.08999997</v>
      </c>
      <c r="C16" s="7">
        <v>5719672.4300000006</v>
      </c>
      <c r="D16" s="7">
        <v>1455415.8599999999</v>
      </c>
      <c r="E16" s="7">
        <v>1741704.51</v>
      </c>
      <c r="F16" s="7">
        <v>384146.82</v>
      </c>
      <c r="G16" s="7">
        <f t="shared" si="4"/>
        <v>2125851.33</v>
      </c>
      <c r="H16" s="7">
        <f t="shared" si="5"/>
        <v>3593821.1000000006</v>
      </c>
      <c r="I16" s="17">
        <f t="shared" si="6"/>
        <v>0.62832638476815716</v>
      </c>
      <c r="L16" s="139"/>
      <c r="M16" s="139"/>
      <c r="N16" s="139"/>
      <c r="O16" s="139"/>
      <c r="P16" s="139"/>
    </row>
    <row r="17" spans="1:16" s="5" customFormat="1" x14ac:dyDescent="0.2">
      <c r="A17" s="6" t="s">
        <v>16</v>
      </c>
      <c r="B17" s="7">
        <v>70390913.229999915</v>
      </c>
      <c r="C17" s="7">
        <v>55333395.05999995</v>
      </c>
      <c r="D17" s="7">
        <v>1813941.4999999988</v>
      </c>
      <c r="E17" s="7">
        <v>5936472.7700000033</v>
      </c>
      <c r="F17" s="7">
        <v>400694.5</v>
      </c>
      <c r="G17" s="7">
        <f t="shared" si="4"/>
        <v>6337167.2700000033</v>
      </c>
      <c r="H17" s="7">
        <f t="shared" si="5"/>
        <v>48996227.789999947</v>
      </c>
      <c r="I17" s="17">
        <f t="shared" si="6"/>
        <v>0.885473008422339</v>
      </c>
      <c r="L17" s="139"/>
      <c r="M17" s="139"/>
      <c r="N17" s="139"/>
      <c r="O17" s="139"/>
      <c r="P17" s="139"/>
    </row>
    <row r="18" spans="1:16" s="5" customFormat="1" x14ac:dyDescent="0.2">
      <c r="A18" s="6" t="s">
        <v>17</v>
      </c>
      <c r="B18" s="7">
        <v>3011181.81</v>
      </c>
      <c r="C18" s="7">
        <v>6089297.8099999987</v>
      </c>
      <c r="D18" s="7">
        <v>3848.08</v>
      </c>
      <c r="E18" s="7">
        <v>28433.11</v>
      </c>
      <c r="F18" s="7">
        <v>3983.18</v>
      </c>
      <c r="G18" s="7">
        <f t="shared" si="4"/>
        <v>32416.29</v>
      </c>
      <c r="H18" s="7">
        <f t="shared" si="5"/>
        <v>6056881.5199999986</v>
      </c>
      <c r="I18" s="17">
        <f t="shared" si="6"/>
        <v>0.99467651426954928</v>
      </c>
      <c r="L18" s="139"/>
      <c r="M18" s="139"/>
      <c r="N18" s="139"/>
      <c r="O18" s="139"/>
      <c r="P18" s="139"/>
    </row>
    <row r="19" spans="1:16" s="5" customFormat="1" x14ac:dyDescent="0.2">
      <c r="A19" s="6" t="s">
        <v>32</v>
      </c>
      <c r="B19" s="7">
        <v>1343787.5100000012</v>
      </c>
      <c r="C19" s="7">
        <v>9363849.0999999996</v>
      </c>
      <c r="D19" s="7">
        <v>369700.18000000005</v>
      </c>
      <c r="E19" s="7">
        <v>1516943.7800000003</v>
      </c>
      <c r="F19" s="7">
        <v>152802.12000000002</v>
      </c>
      <c r="G19" s="7">
        <f>SUM(E19:F19)</f>
        <v>1669745.9000000004</v>
      </c>
      <c r="H19" s="7">
        <f>C19-G19</f>
        <v>7694103.1999999993</v>
      </c>
      <c r="I19" s="17">
        <f>IF(C19=0,"",H19/C19)</f>
        <v>0.82168167361859767</v>
      </c>
      <c r="L19" s="139"/>
      <c r="M19" s="139"/>
      <c r="N19" s="139"/>
      <c r="O19" s="139"/>
      <c r="P19" s="139"/>
    </row>
    <row r="20" spans="1:16" s="5" customFormat="1" x14ac:dyDescent="0.2">
      <c r="A20" s="6" t="s">
        <v>18</v>
      </c>
      <c r="B20" s="7">
        <v>55718199.100000001</v>
      </c>
      <c r="C20" s="7">
        <v>76407795.609999985</v>
      </c>
      <c r="D20" s="7">
        <v>73632.569999999992</v>
      </c>
      <c r="E20" s="7">
        <v>407414.58</v>
      </c>
      <c r="F20" s="7">
        <v>77280.510000000009</v>
      </c>
      <c r="G20" s="7">
        <f t="shared" si="4"/>
        <v>484695.09</v>
      </c>
      <c r="H20" s="7">
        <f t="shared" si="5"/>
        <v>75923100.519999981</v>
      </c>
      <c r="I20" s="17">
        <f t="shared" si="6"/>
        <v>0.99365647070262331</v>
      </c>
      <c r="L20" s="139"/>
      <c r="M20" s="139"/>
      <c r="N20" s="139"/>
      <c r="O20" s="139"/>
      <c r="P20" s="139"/>
    </row>
    <row r="21" spans="1:16" s="5" customFormat="1" x14ac:dyDescent="0.2">
      <c r="A21" s="6" t="s">
        <v>19</v>
      </c>
      <c r="B21" s="7">
        <v>27892879.379999995</v>
      </c>
      <c r="C21" s="7">
        <v>3689629.67</v>
      </c>
      <c r="D21" s="7">
        <v>18710.250000000004</v>
      </c>
      <c r="E21" s="7">
        <v>108552.37999999999</v>
      </c>
      <c r="F21" s="7">
        <v>0</v>
      </c>
      <c r="G21" s="7">
        <f t="shared" si="4"/>
        <v>108552.37999999999</v>
      </c>
      <c r="H21" s="7">
        <f t="shared" si="5"/>
        <v>3581077.29</v>
      </c>
      <c r="I21" s="17">
        <f t="shared" si="6"/>
        <v>0.97057905814162648</v>
      </c>
      <c r="L21" s="139"/>
      <c r="M21" s="139"/>
      <c r="N21" s="139"/>
      <c r="O21" s="139"/>
      <c r="P21" s="139"/>
    </row>
    <row r="22" spans="1:16" s="5" customFormat="1" x14ac:dyDescent="0.2">
      <c r="A22" s="6" t="s">
        <v>20</v>
      </c>
      <c r="B22" s="7">
        <v>26274378.210000001</v>
      </c>
      <c r="C22" s="7">
        <v>321733.20999999996</v>
      </c>
      <c r="D22" s="7">
        <v>15314.34</v>
      </c>
      <c r="E22" s="7">
        <v>71537.540000000008</v>
      </c>
      <c r="F22" s="7">
        <v>7613.83</v>
      </c>
      <c r="G22" s="7">
        <f t="shared" si="4"/>
        <v>79151.37000000001</v>
      </c>
      <c r="H22" s="7">
        <f t="shared" si="5"/>
        <v>242581.83999999997</v>
      </c>
      <c r="I22" s="17">
        <f t="shared" si="6"/>
        <v>0.753984458116711</v>
      </c>
      <c r="L22" s="139"/>
      <c r="M22" s="139"/>
      <c r="N22" s="139"/>
      <c r="O22" s="139"/>
      <c r="P22" s="139"/>
    </row>
    <row r="23" spans="1:16" s="5" customFormat="1" x14ac:dyDescent="0.2">
      <c r="A23" s="6" t="s">
        <v>21</v>
      </c>
      <c r="B23" s="7">
        <v>79291426.529999927</v>
      </c>
      <c r="C23" s="7">
        <v>63607471.030000001</v>
      </c>
      <c r="D23" s="7">
        <v>65531.090000000026</v>
      </c>
      <c r="E23" s="7">
        <v>331138.37</v>
      </c>
      <c r="F23" s="7">
        <v>307651.05000000005</v>
      </c>
      <c r="G23" s="7">
        <f t="shared" si="4"/>
        <v>638789.42000000004</v>
      </c>
      <c r="H23" s="7">
        <f t="shared" si="5"/>
        <v>62968681.609999999</v>
      </c>
      <c r="I23" s="17">
        <f t="shared" si="6"/>
        <v>0.98995732089869248</v>
      </c>
      <c r="L23" s="139"/>
      <c r="M23" s="139"/>
      <c r="N23" s="139"/>
      <c r="O23" s="139"/>
      <c r="P23" s="139"/>
    </row>
    <row r="24" spans="1:16" s="5" customFormat="1" x14ac:dyDescent="0.2">
      <c r="A24" s="6" t="s">
        <v>22</v>
      </c>
      <c r="B24" s="7">
        <v>29329108.090000007</v>
      </c>
      <c r="C24" s="7">
        <v>4703926.0899999989</v>
      </c>
      <c r="D24" s="7">
        <v>20333.75</v>
      </c>
      <c r="E24" s="7">
        <v>323519.63</v>
      </c>
      <c r="F24" s="7">
        <v>483.2</v>
      </c>
      <c r="G24" s="7">
        <f t="shared" si="4"/>
        <v>324002.83</v>
      </c>
      <c r="H24" s="7">
        <f t="shared" si="5"/>
        <v>4379923.2599999988</v>
      </c>
      <c r="I24" s="17">
        <f t="shared" si="6"/>
        <v>0.93112076512239583</v>
      </c>
      <c r="L24" s="139"/>
      <c r="M24" s="139"/>
      <c r="N24" s="139"/>
      <c r="O24" s="139"/>
      <c r="P24" s="139"/>
    </row>
    <row r="25" spans="1:16" s="5" customFormat="1" x14ac:dyDescent="0.2">
      <c r="A25" s="6" t="s">
        <v>23</v>
      </c>
      <c r="B25" s="7">
        <v>81023209.520000011</v>
      </c>
      <c r="C25" s="7">
        <v>4351855.0200000005</v>
      </c>
      <c r="D25" s="7">
        <v>63358.570000000007</v>
      </c>
      <c r="E25" s="7">
        <v>2537821.06</v>
      </c>
      <c r="F25" s="7">
        <v>2001826.4500000002</v>
      </c>
      <c r="G25" s="7">
        <f t="shared" si="4"/>
        <v>4539647.51</v>
      </c>
      <c r="H25" s="7">
        <f t="shared" si="5"/>
        <v>-187792.48999999929</v>
      </c>
      <c r="I25" s="17">
        <f t="shared" si="6"/>
        <v>-4.3152285436199866E-2</v>
      </c>
      <c r="L25" s="139"/>
      <c r="M25" s="139"/>
      <c r="N25" s="139"/>
      <c r="O25" s="139"/>
      <c r="P25" s="139"/>
    </row>
    <row r="26" spans="1:16" s="5" customFormat="1" x14ac:dyDescent="0.2">
      <c r="A26" s="6" t="s">
        <v>24</v>
      </c>
      <c r="B26" s="7">
        <v>1650799.4900000002</v>
      </c>
      <c r="C26" s="7">
        <v>3929239.4900000012</v>
      </c>
      <c r="D26" s="7">
        <v>55727.68</v>
      </c>
      <c r="E26" s="7">
        <v>86889.56</v>
      </c>
      <c r="F26" s="7">
        <v>2955</v>
      </c>
      <c r="G26" s="7">
        <f t="shared" si="4"/>
        <v>89844.56</v>
      </c>
      <c r="H26" s="7">
        <f t="shared" si="5"/>
        <v>3839394.9300000011</v>
      </c>
      <c r="I26" s="17">
        <f t="shared" si="6"/>
        <v>0.97713436398349951</v>
      </c>
      <c r="L26" s="139"/>
      <c r="M26" s="139"/>
      <c r="N26" s="139"/>
      <c r="O26" s="139"/>
      <c r="P26" s="139"/>
    </row>
    <row r="27" spans="1:16" s="5" customFormat="1" x14ac:dyDescent="0.2">
      <c r="A27" s="6" t="s">
        <v>31</v>
      </c>
      <c r="B27" s="7">
        <v>53747141</v>
      </c>
      <c r="C27" s="7">
        <v>22069515.07</v>
      </c>
      <c r="D27" s="7">
        <v>0</v>
      </c>
      <c r="E27" s="7">
        <v>109762.66</v>
      </c>
      <c r="F27" s="7">
        <v>872265.36</v>
      </c>
      <c r="G27" s="7">
        <f t="shared" si="4"/>
        <v>982028.02</v>
      </c>
      <c r="H27" s="7">
        <f t="shared" si="5"/>
        <v>21087487.050000001</v>
      </c>
      <c r="I27" s="17">
        <f t="shared" si="6"/>
        <v>0.95550296339157403</v>
      </c>
      <c r="L27" s="139"/>
      <c r="M27" s="139"/>
      <c r="N27" s="139"/>
      <c r="O27" s="139"/>
      <c r="P27" s="139"/>
    </row>
    <row r="28" spans="1:16" s="5" customFormat="1" x14ac:dyDescent="0.2">
      <c r="A28" s="6" t="s">
        <v>33</v>
      </c>
      <c r="B28" s="7">
        <v>2545325.2999999998</v>
      </c>
      <c r="C28" s="7">
        <v>2545325.2999999998</v>
      </c>
      <c r="D28" s="7">
        <v>585017.23</v>
      </c>
      <c r="E28" s="7">
        <v>891615.03</v>
      </c>
      <c r="F28" s="7">
        <v>362393.94</v>
      </c>
      <c r="G28" s="7">
        <f t="shared" si="4"/>
        <v>1254008.97</v>
      </c>
      <c r="H28" s="7">
        <f t="shared" si="5"/>
        <v>1291316.3299999998</v>
      </c>
      <c r="I28" s="17">
        <f t="shared" si="6"/>
        <v>0.50732860353841602</v>
      </c>
      <c r="L28" s="139"/>
      <c r="M28" s="139"/>
      <c r="N28" s="139"/>
      <c r="O28" s="139"/>
      <c r="P28" s="139"/>
    </row>
    <row r="29" spans="1:16" s="5" customFormat="1" x14ac:dyDescent="0.2">
      <c r="A29" s="30" t="s">
        <v>39</v>
      </c>
      <c r="B29" s="7">
        <v>19871.870000000003</v>
      </c>
      <c r="C29" s="7">
        <v>19871.870000000003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19871.870000000003</v>
      </c>
      <c r="I29" s="17">
        <f t="shared" ref="I29" si="9">IF(C29=0,"",H29/C29)</f>
        <v>1</v>
      </c>
    </row>
    <row r="30" spans="1:16" s="5" customFormat="1" x14ac:dyDescent="0.2">
      <c r="A30" s="30" t="s">
        <v>34</v>
      </c>
      <c r="B30" s="7">
        <v>158938842.19</v>
      </c>
      <c r="C30" s="7">
        <v>120152066.78999993</v>
      </c>
      <c r="D30" s="7">
        <v>170033.75</v>
      </c>
      <c r="E30" s="7">
        <v>519115</v>
      </c>
      <c r="F30" s="7">
        <v>2340650</v>
      </c>
      <c r="G30" s="7">
        <f t="shared" ref="G30" si="10">SUM(E30:F30)</f>
        <v>2859765</v>
      </c>
      <c r="H30" s="7">
        <f t="shared" ref="H30" si="11">C30-G30</f>
        <v>117292301.78999993</v>
      </c>
      <c r="I30" s="17">
        <f t="shared" ref="I30" si="12">IF(C30=0,"",H30/C30)</f>
        <v>0.97619878645118729</v>
      </c>
      <c r="L30" s="139"/>
      <c r="M30" s="139"/>
      <c r="N30" s="139"/>
      <c r="O30" s="139"/>
      <c r="P30" s="139"/>
    </row>
    <row r="31" spans="1:16" s="5" customFormat="1" x14ac:dyDescent="0.2">
      <c r="A31" s="6" t="s">
        <v>26</v>
      </c>
      <c r="B31" s="7">
        <v>11025691.43</v>
      </c>
      <c r="C31" s="7">
        <v>11025691.43</v>
      </c>
      <c r="D31" s="7">
        <v>1754373.62</v>
      </c>
      <c r="E31" s="7">
        <v>6744262.5600000005</v>
      </c>
      <c r="F31" s="7">
        <v>0</v>
      </c>
      <c r="G31" s="7">
        <f t="shared" si="4"/>
        <v>6744262.5600000005</v>
      </c>
      <c r="H31" s="7">
        <f t="shared" si="5"/>
        <v>4281428.8699999992</v>
      </c>
      <c r="I31" s="17">
        <f t="shared" si="6"/>
        <v>0.38831386649825728</v>
      </c>
      <c r="L31" s="139"/>
      <c r="M31" s="139"/>
      <c r="N31" s="139"/>
      <c r="O31" s="139"/>
      <c r="P31" s="139"/>
    </row>
    <row r="32" spans="1:16" s="5" customFormat="1" x14ac:dyDescent="0.2">
      <c r="A32" s="10" t="s">
        <v>27</v>
      </c>
      <c r="B32" s="11">
        <f t="shared" ref="B32:H32" si="13">SUM(B14:B31)</f>
        <v>858948979.08000004</v>
      </c>
      <c r="C32" s="11">
        <f t="shared" si="13"/>
        <v>708288692.25000048</v>
      </c>
      <c r="D32" s="11">
        <f t="shared" si="13"/>
        <v>12602533.919999976</v>
      </c>
      <c r="E32" s="11">
        <f t="shared" si="13"/>
        <v>41233319.100000031</v>
      </c>
      <c r="F32" s="11">
        <f t="shared" si="13"/>
        <v>12532619.469999997</v>
      </c>
      <c r="G32" s="11">
        <f t="shared" si="13"/>
        <v>53765938.570000038</v>
      </c>
      <c r="H32" s="11">
        <f t="shared" si="13"/>
        <v>654522753.68000042</v>
      </c>
      <c r="I32" s="12">
        <f>IF(C32=0,"",H32/C32)</f>
        <v>0.92409036151741553</v>
      </c>
      <c r="L32" s="139"/>
      <c r="M32" s="139"/>
      <c r="N32" s="139"/>
      <c r="O32" s="139"/>
      <c r="P32" s="139"/>
    </row>
    <row r="33" spans="1:16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  <c r="L33" s="139"/>
      <c r="M33" s="139"/>
      <c r="N33" s="139"/>
      <c r="O33" s="139"/>
      <c r="P33" s="139"/>
    </row>
    <row r="34" spans="1:16" s="5" customFormat="1" x14ac:dyDescent="0.2">
      <c r="A34" s="6" t="s">
        <v>28</v>
      </c>
      <c r="B34" s="7">
        <f>B13-B32</f>
        <v>-264493969.21000016</v>
      </c>
      <c r="C34" s="7">
        <f>C13-C32</f>
        <v>38273936.799999356</v>
      </c>
      <c r="D34" s="7">
        <f>D13-D32</f>
        <v>-3642548.239999976</v>
      </c>
      <c r="E34" s="7">
        <f>E13-E32</f>
        <v>39431011.119999968</v>
      </c>
      <c r="F34" s="7"/>
      <c r="G34" s="7">
        <f>G13-G32</f>
        <v>26898391.649999961</v>
      </c>
      <c r="H34" s="7">
        <f>H13-H32</f>
        <v>11375545.149999499</v>
      </c>
      <c r="I34" s="17"/>
      <c r="L34" s="139"/>
      <c r="M34" s="139"/>
      <c r="N34" s="139"/>
      <c r="O34" s="139"/>
      <c r="P34" s="139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  <c r="L35" s="139"/>
      <c r="M35" s="139"/>
      <c r="N35" s="139"/>
      <c r="O35" s="139"/>
      <c r="P35" s="139"/>
    </row>
    <row r="36" spans="1:16" s="5" customFormat="1" x14ac:dyDescent="0.2">
      <c r="A36" s="19" t="s">
        <v>78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  <c r="L36" s="139"/>
      <c r="M36" s="139"/>
      <c r="N36" s="139"/>
      <c r="O36" s="139"/>
      <c r="P36" s="139"/>
    </row>
    <row r="37" spans="1:16" s="5" customFormat="1" ht="15.75" thickBot="1" x14ac:dyDescent="0.25">
      <c r="A37" s="23" t="s">
        <v>29</v>
      </c>
      <c r="B37" s="25"/>
      <c r="C37" s="25"/>
      <c r="D37" s="25"/>
      <c r="E37" s="25">
        <f>SUM(E34:E36)</f>
        <v>39993671.289999969</v>
      </c>
      <c r="F37" s="25"/>
      <c r="G37" s="25">
        <f>SUM(G34:G36)</f>
        <v>27461051.819999963</v>
      </c>
      <c r="H37" s="25"/>
      <c r="I37" s="26"/>
      <c r="L37" s="139"/>
      <c r="M37" s="139"/>
      <c r="N37" s="139"/>
      <c r="O37" s="139"/>
      <c r="P37" s="139"/>
    </row>
    <row r="38" spans="1:16" s="5" customFormat="1" x14ac:dyDescent="0.2">
      <c r="B38" s="34"/>
      <c r="C38" s="34"/>
      <c r="D38" s="34"/>
      <c r="E38" s="34"/>
      <c r="F38" s="34"/>
      <c r="G38" s="34"/>
      <c r="H38" s="34"/>
      <c r="L38" s="139"/>
      <c r="M38" s="139"/>
      <c r="N38" s="139"/>
      <c r="O38" s="139"/>
      <c r="P38" s="139"/>
    </row>
    <row r="39" spans="1:16" x14ac:dyDescent="0.25">
      <c r="I39" s="31"/>
      <c r="J39" s="138"/>
      <c r="K39" s="138"/>
      <c r="O39" s="1"/>
      <c r="P39" s="1"/>
    </row>
    <row r="40" spans="1:16" x14ac:dyDescent="0.25">
      <c r="H40" s="138"/>
      <c r="I40" s="138"/>
      <c r="J40" s="138"/>
      <c r="K40" s="138"/>
      <c r="M40" s="1"/>
      <c r="N40" s="1"/>
      <c r="O40" s="1"/>
      <c r="P40" s="1"/>
    </row>
    <row r="41" spans="1:16" x14ac:dyDescent="0.25">
      <c r="H41" s="138"/>
      <c r="I41" s="138"/>
      <c r="J41" s="138"/>
      <c r="K41" s="138"/>
      <c r="M41" s="1"/>
      <c r="N41" s="1"/>
      <c r="O41" s="1"/>
      <c r="P41" s="1"/>
    </row>
    <row r="42" spans="1:16" x14ac:dyDescent="0.25">
      <c r="H42" s="138"/>
      <c r="I42" s="138"/>
      <c r="J42" s="138"/>
      <c r="K42" s="138"/>
      <c r="M42" s="1"/>
      <c r="N42" s="1"/>
      <c r="O42" s="1"/>
      <c r="P42" s="1"/>
    </row>
    <row r="43" spans="1:16" x14ac:dyDescent="0.25">
      <c r="H43" s="138"/>
      <c r="I43" s="138"/>
      <c r="J43" s="138"/>
      <c r="K43" s="138"/>
      <c r="M43" s="1"/>
      <c r="N43" s="1"/>
      <c r="O43" s="1"/>
      <c r="P43" s="1"/>
    </row>
    <row r="44" spans="1:16" x14ac:dyDescent="0.25">
      <c r="H44" s="138"/>
      <c r="I44" s="138"/>
      <c r="J44" s="138"/>
      <c r="K44" s="138"/>
      <c r="M44" s="1"/>
      <c r="N44" s="1"/>
      <c r="O44" s="1"/>
      <c r="P44" s="1"/>
    </row>
    <row r="45" spans="1:16" x14ac:dyDescent="0.25">
      <c r="I45" s="138"/>
      <c r="J45" s="138"/>
      <c r="K45" s="138"/>
      <c r="M45" s="1"/>
      <c r="N45" s="1"/>
      <c r="O45" s="1"/>
      <c r="P45" s="1"/>
    </row>
    <row r="46" spans="1:16" x14ac:dyDescent="0.25">
      <c r="I46" s="138"/>
      <c r="J46" s="138"/>
      <c r="K46" s="138"/>
      <c r="M46" s="1"/>
      <c r="N46" s="1"/>
      <c r="O46" s="1"/>
      <c r="P46" s="1"/>
    </row>
    <row r="47" spans="1:16" x14ac:dyDescent="0.25">
      <c r="H47" s="138"/>
      <c r="I47" s="138"/>
      <c r="J47" s="138"/>
      <c r="K47" s="138"/>
      <c r="M47" s="1"/>
      <c r="N47" s="1"/>
      <c r="O47" s="1"/>
      <c r="P47" s="1"/>
    </row>
    <row r="48" spans="1:16" x14ac:dyDescent="0.25">
      <c r="H48" s="138"/>
      <c r="I48" s="138"/>
      <c r="J48" s="138"/>
      <c r="K48" s="138"/>
      <c r="M48" s="1"/>
      <c r="N48" s="1"/>
      <c r="O48" s="1"/>
      <c r="P48" s="1"/>
    </row>
    <row r="49" spans="5:16" x14ac:dyDescent="0.25">
      <c r="H49" s="138"/>
      <c r="I49" s="138"/>
      <c r="J49" s="138"/>
      <c r="K49" s="138"/>
      <c r="M49" s="1"/>
      <c r="N49" s="1"/>
      <c r="O49" s="1"/>
      <c r="P49" s="1"/>
    </row>
    <row r="50" spans="5:16" x14ac:dyDescent="0.25">
      <c r="H50" s="138"/>
      <c r="I50" s="138"/>
      <c r="J50" s="138"/>
      <c r="K50" s="138"/>
      <c r="M50" s="1"/>
      <c r="N50" s="1"/>
      <c r="O50" s="1"/>
      <c r="P50" s="1"/>
    </row>
    <row r="51" spans="5:16" x14ac:dyDescent="0.25">
      <c r="H51" s="138"/>
      <c r="I51" s="138"/>
      <c r="J51" s="138"/>
      <c r="K51" s="138"/>
      <c r="M51" s="1"/>
      <c r="N51" s="1"/>
      <c r="O51" s="1"/>
      <c r="P51" s="1"/>
    </row>
    <row r="52" spans="5:16" x14ac:dyDescent="0.25">
      <c r="H52" s="138"/>
      <c r="I52" s="138"/>
      <c r="J52" s="138"/>
      <c r="K52" s="138"/>
      <c r="M52" s="1"/>
      <c r="N52" s="1"/>
      <c r="O52" s="1"/>
      <c r="P52" s="1"/>
    </row>
    <row r="53" spans="5:16" x14ac:dyDescent="0.25">
      <c r="H53" s="138"/>
      <c r="I53" s="138"/>
      <c r="J53" s="138"/>
      <c r="K53" s="138"/>
      <c r="M53" s="1"/>
      <c r="N53" s="1"/>
      <c r="O53" s="1"/>
      <c r="P53" s="1"/>
    </row>
    <row r="54" spans="5:16" x14ac:dyDescent="0.25">
      <c r="H54" s="138"/>
      <c r="I54" s="138"/>
      <c r="J54" s="138"/>
      <c r="K54" s="138"/>
      <c r="M54" s="1"/>
      <c r="N54" s="1"/>
      <c r="O54" s="1"/>
      <c r="P54" s="1"/>
    </row>
    <row r="55" spans="5:16" x14ac:dyDescent="0.25">
      <c r="H55" s="138"/>
      <c r="I55" s="138"/>
      <c r="J55" s="138"/>
      <c r="K55" s="138"/>
      <c r="M55" s="1"/>
      <c r="N55" s="1"/>
      <c r="O55" s="1"/>
      <c r="P55" s="1"/>
    </row>
    <row r="56" spans="5:16" x14ac:dyDescent="0.25">
      <c r="H56" s="138"/>
      <c r="I56" s="138"/>
      <c r="J56" s="138"/>
      <c r="K56" s="138"/>
      <c r="M56" s="1"/>
      <c r="N56" s="1"/>
      <c r="O56" s="1"/>
      <c r="P56" s="1"/>
    </row>
    <row r="57" spans="5:16" x14ac:dyDescent="0.25">
      <c r="H57" s="138"/>
      <c r="I57" s="138"/>
      <c r="J57" s="138"/>
      <c r="K57" s="138"/>
      <c r="M57" s="1"/>
      <c r="N57" s="1"/>
      <c r="O57" s="1"/>
      <c r="P57" s="1"/>
    </row>
    <row r="58" spans="5:16" x14ac:dyDescent="0.25">
      <c r="H58" s="138"/>
      <c r="I58" s="138"/>
      <c r="J58" s="138"/>
      <c r="K58" s="138"/>
      <c r="M58" s="1"/>
      <c r="N58" s="1"/>
      <c r="O58" s="1"/>
      <c r="P58" s="1"/>
    </row>
    <row r="59" spans="5:16" x14ac:dyDescent="0.25">
      <c r="H59" s="138"/>
      <c r="I59" s="138"/>
      <c r="J59" s="138"/>
      <c r="K59" s="138"/>
      <c r="M59" s="1"/>
      <c r="N59" s="1"/>
      <c r="O59" s="1"/>
      <c r="P59" s="1"/>
    </row>
    <row r="60" spans="5:16" x14ac:dyDescent="0.25">
      <c r="H60" s="138"/>
      <c r="I60" s="138"/>
      <c r="J60" s="138"/>
      <c r="K60" s="138"/>
      <c r="M60" s="1"/>
      <c r="N60" s="1"/>
      <c r="O60" s="1"/>
      <c r="P60" s="1"/>
    </row>
    <row r="61" spans="5:16" x14ac:dyDescent="0.25">
      <c r="H61" s="138"/>
      <c r="I61" s="138"/>
      <c r="J61" s="138"/>
      <c r="K61" s="138"/>
      <c r="M61" s="1"/>
      <c r="N61" s="1"/>
      <c r="O61" s="1"/>
      <c r="P61" s="1"/>
    </row>
    <row r="62" spans="5:16" x14ac:dyDescent="0.25">
      <c r="E62" s="1"/>
      <c r="F62" s="1"/>
      <c r="G62" s="1"/>
      <c r="H62" s="138"/>
      <c r="I62" s="138"/>
      <c r="J62" s="138"/>
      <c r="K62" s="138"/>
      <c r="M62" s="1"/>
      <c r="N62" s="1"/>
      <c r="O62" s="1"/>
      <c r="P62" s="1"/>
    </row>
    <row r="63" spans="5:16" x14ac:dyDescent="0.25">
      <c r="E63" s="1"/>
      <c r="F63" s="1"/>
      <c r="G63" s="1"/>
      <c r="H63" s="138"/>
      <c r="I63" s="138"/>
      <c r="J63" s="138"/>
      <c r="K63" s="138"/>
      <c r="M63" s="1"/>
      <c r="N63" s="1"/>
      <c r="O63" s="1"/>
      <c r="P63" s="1"/>
    </row>
    <row r="64" spans="5:16" x14ac:dyDescent="0.25">
      <c r="E64" s="1"/>
      <c r="F64" s="1"/>
      <c r="G64" s="1"/>
      <c r="H64" s="138"/>
      <c r="I64" s="138"/>
      <c r="J64" s="138"/>
      <c r="K64" s="138"/>
      <c r="M64" s="1"/>
      <c r="N64" s="1"/>
      <c r="O64" s="1"/>
      <c r="P64" s="1"/>
    </row>
    <row r="65" spans="5:16" x14ac:dyDescent="0.25">
      <c r="E65" s="1"/>
      <c r="F65" s="1"/>
      <c r="G65" s="1"/>
      <c r="H65" s="138"/>
      <c r="I65" s="138"/>
      <c r="J65" s="138"/>
      <c r="K65" s="138"/>
      <c r="M65" s="1"/>
      <c r="N65" s="1"/>
      <c r="O65" s="1"/>
      <c r="P65" s="1"/>
    </row>
    <row r="66" spans="5:16" x14ac:dyDescent="0.25">
      <c r="I66" s="31"/>
      <c r="J66" s="138"/>
      <c r="K66" s="138"/>
      <c r="M66" s="1"/>
      <c r="N66" s="1"/>
      <c r="O66" s="1"/>
      <c r="P66" s="1"/>
    </row>
    <row r="67" spans="5:16" x14ac:dyDescent="0.25">
      <c r="I67" s="31"/>
      <c r="J67" s="138"/>
      <c r="K67" s="138"/>
      <c r="O67" s="1"/>
      <c r="P67" s="1"/>
    </row>
    <row r="68" spans="5:16" x14ac:dyDescent="0.25">
      <c r="I68" s="31"/>
      <c r="J68" s="138"/>
      <c r="K68" s="138"/>
      <c r="O68" s="1"/>
      <c r="P68" s="1"/>
    </row>
    <row r="69" spans="5:16" x14ac:dyDescent="0.25">
      <c r="I69" s="31"/>
      <c r="J69" s="138"/>
      <c r="K69" s="138"/>
      <c r="O69" s="1"/>
      <c r="P69" s="1"/>
    </row>
    <row r="70" spans="5:16" x14ac:dyDescent="0.25">
      <c r="I70" s="31"/>
      <c r="J70" s="138"/>
      <c r="K70" s="138"/>
      <c r="O70" s="1"/>
      <c r="P70" s="1"/>
    </row>
    <row r="71" spans="5:16" x14ac:dyDescent="0.25">
      <c r="I71" s="31"/>
      <c r="J71" s="138"/>
      <c r="K71" s="138"/>
      <c r="O71" s="1"/>
      <c r="P71" s="1"/>
    </row>
    <row r="72" spans="5:16" x14ac:dyDescent="0.25">
      <c r="I72" s="31"/>
      <c r="J72" s="138"/>
      <c r="K72" s="138"/>
      <c r="O72" s="1"/>
      <c r="P72" s="1"/>
    </row>
    <row r="73" spans="5:16" x14ac:dyDescent="0.25">
      <c r="I73" s="31"/>
      <c r="J73" s="138"/>
      <c r="K73" s="138"/>
      <c r="O73" s="1"/>
      <c r="P73" s="1"/>
    </row>
    <row r="74" spans="5:16" x14ac:dyDescent="0.25">
      <c r="I74" s="31"/>
      <c r="J74" s="138"/>
      <c r="K74" s="138"/>
      <c r="O74" s="1"/>
      <c r="P74" s="1"/>
    </row>
    <row r="75" spans="5:16" x14ac:dyDescent="0.25">
      <c r="I75" s="31"/>
      <c r="J75" s="138"/>
      <c r="K75" s="138"/>
      <c r="O75" s="1"/>
      <c r="P75" s="1"/>
    </row>
    <row r="76" spans="5:16" x14ac:dyDescent="0.25">
      <c r="I76" s="31"/>
      <c r="J76" s="138"/>
      <c r="K76" s="138"/>
      <c r="O76" s="1"/>
      <c r="P76" s="1"/>
    </row>
    <row r="77" spans="5:16" x14ac:dyDescent="0.25">
      <c r="I77" s="31"/>
      <c r="J77" s="138"/>
      <c r="K77" s="138"/>
      <c r="O77" s="1"/>
      <c r="P77" s="1"/>
    </row>
    <row r="78" spans="5:16" x14ac:dyDescent="0.25">
      <c r="I78" s="31"/>
      <c r="J78" s="138"/>
      <c r="K78" s="138"/>
      <c r="O78" s="1"/>
      <c r="P78" s="1"/>
    </row>
    <row r="79" spans="5:16" x14ac:dyDescent="0.25">
      <c r="I79" s="31"/>
      <c r="J79" s="138"/>
      <c r="K79" s="138"/>
      <c r="O79" s="1"/>
      <c r="P79" s="1"/>
    </row>
    <row r="80" spans="5:16" x14ac:dyDescent="0.25">
      <c r="I80" s="31"/>
      <c r="J80" s="138"/>
      <c r="K80" s="138"/>
      <c r="O80" s="1"/>
      <c r="P80" s="1"/>
    </row>
    <row r="81" spans="7:16" x14ac:dyDescent="0.25">
      <c r="I81" s="31"/>
      <c r="J81" s="138"/>
      <c r="K81" s="138"/>
      <c r="O81" s="1"/>
      <c r="P81" s="1"/>
    </row>
    <row r="82" spans="7:16" x14ac:dyDescent="0.25">
      <c r="I82" s="31"/>
      <c r="J82" s="138"/>
      <c r="K82" s="138"/>
      <c r="O82" s="1"/>
      <c r="P82" s="1"/>
    </row>
    <row r="83" spans="7:16" x14ac:dyDescent="0.25">
      <c r="I83" s="31"/>
      <c r="J83" s="138"/>
      <c r="K83" s="138"/>
      <c r="O83" s="1"/>
      <c r="P83" s="1"/>
    </row>
    <row r="84" spans="7:16" x14ac:dyDescent="0.25">
      <c r="I84" s="31"/>
      <c r="J84" s="138"/>
      <c r="K84" s="138"/>
      <c r="O84" s="1"/>
      <c r="P84" s="1"/>
    </row>
    <row r="85" spans="7:16" x14ac:dyDescent="0.25">
      <c r="I85" s="31"/>
      <c r="J85" s="138"/>
      <c r="K85" s="138"/>
      <c r="O85" s="1"/>
      <c r="P85" s="1"/>
    </row>
    <row r="86" spans="7:16" x14ac:dyDescent="0.25">
      <c r="I86" s="31"/>
      <c r="J86" s="138"/>
      <c r="K86" s="138"/>
      <c r="O86" s="1"/>
      <c r="P86" s="1"/>
    </row>
    <row r="87" spans="7:16" x14ac:dyDescent="0.25">
      <c r="I87" s="31"/>
      <c r="J87" s="138"/>
      <c r="K87" s="138"/>
      <c r="O87" s="1"/>
      <c r="P87" s="1"/>
    </row>
    <row r="88" spans="7:16" x14ac:dyDescent="0.25">
      <c r="I88" s="31"/>
      <c r="J88" s="138"/>
      <c r="K88" s="138"/>
      <c r="O88" s="1"/>
      <c r="P88" s="1"/>
    </row>
    <row r="89" spans="7:16" x14ac:dyDescent="0.25">
      <c r="I89" s="31"/>
      <c r="J89" s="138"/>
      <c r="K89" s="138"/>
      <c r="O89" s="1"/>
      <c r="P89" s="1"/>
    </row>
    <row r="90" spans="7:16" x14ac:dyDescent="0.25">
      <c r="I90" s="31"/>
      <c r="J90" s="138"/>
      <c r="K90" s="138"/>
      <c r="O90" s="1"/>
      <c r="P90" s="1"/>
    </row>
    <row r="91" spans="7:16" x14ac:dyDescent="0.25">
      <c r="G91" s="1"/>
      <c r="H91" s="1"/>
      <c r="J91" s="138"/>
      <c r="K91" s="138"/>
      <c r="O91" s="1"/>
      <c r="P91" s="1"/>
    </row>
    <row r="92" spans="7:16" x14ac:dyDescent="0.25">
      <c r="G92" s="1"/>
      <c r="H92" s="1"/>
      <c r="J92" s="138"/>
      <c r="K92" s="138"/>
      <c r="O92" s="1"/>
      <c r="P92" s="1"/>
    </row>
    <row r="93" spans="7:16" x14ac:dyDescent="0.25">
      <c r="G93" s="1"/>
      <c r="H93" s="1"/>
      <c r="J93" s="138"/>
      <c r="K93" s="138"/>
      <c r="O93" s="1"/>
      <c r="P93" s="1"/>
    </row>
    <row r="94" spans="7:16" x14ac:dyDescent="0.25">
      <c r="G94" s="1"/>
      <c r="H94" s="1"/>
      <c r="J94" s="138"/>
      <c r="K94" s="138"/>
      <c r="O94" s="1"/>
      <c r="P94" s="1"/>
    </row>
    <row r="95" spans="7:16" x14ac:dyDescent="0.25">
      <c r="G95" s="1"/>
      <c r="H95" s="1"/>
      <c r="J95" s="138"/>
      <c r="K95" s="138"/>
      <c r="O95" s="1"/>
      <c r="P95" s="1"/>
    </row>
    <row r="96" spans="7:16" x14ac:dyDescent="0.25">
      <c r="G96" s="1"/>
      <c r="H96" s="1"/>
      <c r="J96" s="138"/>
      <c r="K96" s="138"/>
      <c r="O96" s="1"/>
      <c r="P96" s="1"/>
    </row>
    <row r="97" spans="7:16" x14ac:dyDescent="0.25">
      <c r="G97" s="1"/>
      <c r="H97" s="1"/>
      <c r="J97" s="138"/>
      <c r="K97" s="138"/>
      <c r="O97" s="1"/>
      <c r="P97" s="1"/>
    </row>
    <row r="98" spans="7:16" x14ac:dyDescent="0.25">
      <c r="G98" s="1"/>
      <c r="H98" s="1"/>
      <c r="J98" s="138"/>
      <c r="K98" s="138"/>
      <c r="O98" s="1"/>
      <c r="P98" s="1"/>
    </row>
    <row r="99" spans="7:16" x14ac:dyDescent="0.25">
      <c r="G99" s="1"/>
      <c r="H99" s="1"/>
      <c r="J99" s="138"/>
      <c r="K99" s="138"/>
      <c r="O99" s="1"/>
      <c r="P99" s="1"/>
    </row>
    <row r="100" spans="7:16" x14ac:dyDescent="0.25">
      <c r="G100" s="1"/>
      <c r="H100" s="1"/>
      <c r="J100" s="138"/>
      <c r="K100" s="138"/>
      <c r="O100" s="1"/>
      <c r="P100" s="1"/>
    </row>
    <row r="101" spans="7:16" x14ac:dyDescent="0.25">
      <c r="G101" s="1"/>
      <c r="H101" s="1"/>
      <c r="J101" s="138"/>
      <c r="K101" s="138"/>
      <c r="O101" s="1"/>
      <c r="P101" s="1"/>
    </row>
    <row r="102" spans="7:16" x14ac:dyDescent="0.25">
      <c r="G102" s="1"/>
      <c r="H102" s="1"/>
      <c r="J102" s="138"/>
      <c r="K102" s="138"/>
      <c r="O102" s="1"/>
      <c r="P102" s="1"/>
    </row>
    <row r="103" spans="7:16" x14ac:dyDescent="0.25">
      <c r="G103" s="1"/>
      <c r="H103" s="1"/>
      <c r="J103" s="138"/>
      <c r="K103" s="138"/>
      <c r="O103" s="1"/>
      <c r="P103" s="1"/>
    </row>
    <row r="104" spans="7:16" x14ac:dyDescent="0.25">
      <c r="G104" s="1"/>
      <c r="H104" s="1"/>
      <c r="J104" s="138"/>
      <c r="K104" s="138"/>
      <c r="O104" s="1"/>
      <c r="P104" s="1"/>
    </row>
    <row r="105" spans="7:16" x14ac:dyDescent="0.25">
      <c r="G105" s="1"/>
      <c r="H105" s="1"/>
      <c r="J105" s="138"/>
      <c r="K105" s="138"/>
      <c r="O105" s="1"/>
      <c r="P105" s="1"/>
    </row>
    <row r="106" spans="7:16" x14ac:dyDescent="0.25">
      <c r="G106" s="1"/>
      <c r="H106" s="1"/>
      <c r="J106" s="138"/>
      <c r="K106" s="138"/>
      <c r="O106" s="1"/>
      <c r="P106" s="1"/>
    </row>
    <row r="107" spans="7:16" x14ac:dyDescent="0.25">
      <c r="G107" s="1"/>
      <c r="H107" s="1"/>
      <c r="J107" s="138"/>
      <c r="K107" s="138"/>
      <c r="O107" s="1"/>
      <c r="P107" s="1"/>
    </row>
    <row r="108" spans="7:16" x14ac:dyDescent="0.25">
      <c r="G108" s="1"/>
      <c r="H108" s="1"/>
      <c r="J108" s="138"/>
      <c r="K108" s="138"/>
      <c r="O108" s="1"/>
      <c r="P108" s="1"/>
    </row>
    <row r="109" spans="7:16" x14ac:dyDescent="0.25">
      <c r="G109" s="1"/>
      <c r="H109" s="1"/>
      <c r="J109" s="138"/>
      <c r="K109" s="138"/>
      <c r="O109" s="1"/>
      <c r="P109" s="1"/>
    </row>
    <row r="110" spans="7:16" x14ac:dyDescent="0.25">
      <c r="G110" s="1"/>
      <c r="H110" s="1"/>
      <c r="J110" s="138"/>
      <c r="K110" s="138"/>
      <c r="O110" s="1"/>
      <c r="P110" s="1"/>
    </row>
    <row r="111" spans="7:16" x14ac:dyDescent="0.25">
      <c r="G111" s="1"/>
      <c r="H111" s="1"/>
      <c r="J111" s="138"/>
      <c r="K111" s="138"/>
      <c r="O111" s="1"/>
      <c r="P111" s="1"/>
    </row>
    <row r="112" spans="7:16" x14ac:dyDescent="0.25">
      <c r="G112" s="1"/>
      <c r="H112" s="1"/>
      <c r="J112" s="138"/>
      <c r="K112" s="138"/>
      <c r="O112" s="1"/>
      <c r="P112" s="1"/>
    </row>
    <row r="113" spans="7:16" x14ac:dyDescent="0.25">
      <c r="G113" s="1"/>
      <c r="H113" s="1"/>
      <c r="J113" s="138"/>
      <c r="K113" s="138"/>
      <c r="O113" s="1"/>
      <c r="P113" s="1"/>
    </row>
    <row r="114" spans="7:16" x14ac:dyDescent="0.25">
      <c r="G114" s="1"/>
      <c r="H114" s="1"/>
      <c r="J114" s="138"/>
      <c r="K114" s="138"/>
      <c r="O114" s="1"/>
      <c r="P114" s="1"/>
    </row>
    <row r="115" spans="7:16" x14ac:dyDescent="0.25">
      <c r="G115" s="1"/>
      <c r="H115" s="1"/>
      <c r="J115" s="138"/>
      <c r="K115" s="138"/>
      <c r="O115" s="1"/>
      <c r="P11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74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44865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29976191</v>
      </c>
      <c r="I9" s="36">
        <f t="shared" si="2"/>
        <v>1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0"/>
        <v>0</v>
      </c>
      <c r="H10" s="11">
        <f t="shared" si="1"/>
        <v>29976191</v>
      </c>
      <c r="I10" s="37">
        <f t="shared" si="2"/>
        <v>1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29976191</v>
      </c>
      <c r="C12" s="9">
        <v>29976191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29976191</v>
      </c>
      <c r="I12" s="39">
        <f t="shared" ref="I12" si="6">IF(C12=0,"NA",H12/C12)</f>
        <v>1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ref="G13" si="8">SUM(E13:F13)</f>
        <v>0</v>
      </c>
      <c r="H13" s="11">
        <f t="shared" ref="H13" si="9">C13-G13</f>
        <v>29976191</v>
      </c>
      <c r="I13" s="37">
        <f t="shared" ref="I13" si="10">IF(C13=0,"NA",H13/C13)</f>
        <v>1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78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38" bestFit="1" customWidth="1"/>
    <col min="14" max="14" width="12.85546875" style="138" bestFit="1" customWidth="1"/>
    <col min="15" max="16" width="13.5703125" style="138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41"/>
    </row>
    <row r="2" spans="1:20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J2" s="42"/>
    </row>
    <row r="3" spans="1:20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41"/>
    </row>
    <row r="4" spans="1:20" x14ac:dyDescent="0.25">
      <c r="A4" s="155">
        <v>44865</v>
      </c>
      <c r="B4" s="155"/>
      <c r="C4" s="155"/>
      <c r="D4" s="155"/>
      <c r="E4" s="155"/>
      <c r="F4" s="155"/>
      <c r="G4" s="155"/>
      <c r="H4" s="155"/>
      <c r="I4" s="155"/>
      <c r="J4" s="43"/>
    </row>
    <row r="5" spans="1:20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41"/>
    </row>
    <row r="6" spans="1:20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41"/>
    </row>
    <row r="7" spans="1:20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J7" s="44"/>
      <c r="L7" s="139"/>
      <c r="M7" s="139"/>
      <c r="N7" s="139"/>
      <c r="O7" s="139"/>
      <c r="P7" s="139"/>
    </row>
    <row r="8" spans="1:20" s="5" customFormat="1" x14ac:dyDescent="0.2">
      <c r="A8" s="6" t="s">
        <v>8</v>
      </c>
      <c r="B8" s="7">
        <v>428990000</v>
      </c>
      <c r="C8" s="7">
        <v>429000000</v>
      </c>
      <c r="D8" s="7">
        <v>12507284.65</v>
      </c>
      <c r="E8" s="7">
        <v>37811344.869999997</v>
      </c>
      <c r="F8" s="7">
        <v>0</v>
      </c>
      <c r="G8" s="7">
        <f t="shared" ref="G8:G19" si="0">SUM(E8:F8)</f>
        <v>37811344.869999997</v>
      </c>
      <c r="H8" s="7">
        <f t="shared" ref="H8:H11" si="1">C8-G8</f>
        <v>391188655.13</v>
      </c>
      <c r="I8" s="36">
        <f>IF(C8=0,"NA",H8/C8)</f>
        <v>0.91186166696969695</v>
      </c>
      <c r="J8" s="45"/>
      <c r="K8"/>
      <c r="L8" s="140"/>
      <c r="M8" s="140"/>
      <c r="N8" s="140"/>
      <c r="O8" s="140"/>
      <c r="P8" s="140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193778.8</v>
      </c>
      <c r="E9" s="7">
        <v>407793.02</v>
      </c>
      <c r="F9" s="7">
        <v>0</v>
      </c>
      <c r="G9" s="7">
        <f t="shared" si="0"/>
        <v>407793.02</v>
      </c>
      <c r="H9" s="7">
        <f t="shared" si="1"/>
        <v>2392206.98</v>
      </c>
      <c r="I9" s="36">
        <f t="shared" ref="I9:I20" si="2">IF(C9=0,"NA",H9/C9)</f>
        <v>0.85435963571428575</v>
      </c>
      <c r="J9" s="45"/>
      <c r="K9"/>
      <c r="L9" s="140"/>
      <c r="M9" s="140"/>
      <c r="N9" s="140"/>
      <c r="O9" s="140"/>
      <c r="P9" s="140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6" t="str">
        <f t="shared" si="2"/>
        <v>NA</v>
      </c>
      <c r="J10" s="45"/>
      <c r="K10"/>
      <c r="L10" s="140"/>
      <c r="M10" s="140"/>
      <c r="N10" s="140"/>
      <c r="O10" s="140"/>
      <c r="P10" s="140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6" t="str">
        <f t="shared" si="2"/>
        <v>NA</v>
      </c>
      <c r="J11" s="45"/>
      <c r="K11"/>
      <c r="L11" s="140"/>
      <c r="M11" s="140"/>
      <c r="N11" s="140"/>
      <c r="O11" s="140"/>
      <c r="P11" s="140"/>
    </row>
    <row r="12" spans="1:20" s="5" customFormat="1" ht="24.95" customHeight="1" x14ac:dyDescent="0.2">
      <c r="A12" s="10" t="s">
        <v>12</v>
      </c>
      <c r="B12" s="11">
        <f>SUM(B8:B11)</f>
        <v>431790000</v>
      </c>
      <c r="C12" s="11">
        <f t="shared" ref="C12:F12" si="3">SUM(C8:C11)</f>
        <v>431800000</v>
      </c>
      <c r="D12" s="11">
        <f t="shared" si="3"/>
        <v>12701063.450000001</v>
      </c>
      <c r="E12" s="11">
        <f t="shared" si="3"/>
        <v>38219137.890000001</v>
      </c>
      <c r="F12" s="11">
        <f t="shared" si="3"/>
        <v>0</v>
      </c>
      <c r="G12" s="11">
        <f t="shared" ref="G12:H12" si="4">SUM(G8:G11)</f>
        <v>38219137.890000001</v>
      </c>
      <c r="H12" s="11">
        <f t="shared" si="4"/>
        <v>393580862.11000001</v>
      </c>
      <c r="I12" s="37">
        <f t="shared" si="2"/>
        <v>0.91148879599351551</v>
      </c>
      <c r="J12" s="46"/>
      <c r="L12" s="139"/>
      <c r="M12" s="139"/>
      <c r="N12" s="139"/>
      <c r="O12" s="139"/>
      <c r="P12" s="139"/>
    </row>
    <row r="13" spans="1:20" s="5" customFormat="1" x14ac:dyDescent="0.2">
      <c r="A13" s="13" t="s">
        <v>13</v>
      </c>
      <c r="B13" s="14">
        <v>5000</v>
      </c>
      <c r="C13" s="14">
        <v>5000</v>
      </c>
      <c r="D13" s="14">
        <v>137461.08000000002</v>
      </c>
      <c r="E13" s="14">
        <v>339383.2</v>
      </c>
      <c r="F13" s="14">
        <v>3036426.75</v>
      </c>
      <c r="G13" s="7">
        <f t="shared" si="0"/>
        <v>3375809.95</v>
      </c>
      <c r="H13" s="7">
        <f t="shared" ref="H13" si="5">C13-G13</f>
        <v>-3370809.95</v>
      </c>
      <c r="I13" s="40">
        <f t="shared" si="2"/>
        <v>-674.16199000000006</v>
      </c>
      <c r="J13" s="45"/>
      <c r="L13" s="139"/>
      <c r="M13" s="139"/>
      <c r="N13" s="139"/>
      <c r="O13" s="139"/>
      <c r="P13" s="139"/>
    </row>
    <row r="14" spans="1:20" s="5" customFormat="1" x14ac:dyDescent="0.25">
      <c r="A14" s="6" t="s">
        <v>14</v>
      </c>
      <c r="B14" s="7">
        <v>0</v>
      </c>
      <c r="C14" s="7">
        <v>10000</v>
      </c>
      <c r="D14" s="7">
        <v>0</v>
      </c>
      <c r="E14" s="7">
        <v>0</v>
      </c>
      <c r="F14" s="7">
        <v>0</v>
      </c>
      <c r="G14" s="7">
        <f t="shared" ref="G14" si="6">SUM(E14:F14)</f>
        <v>0</v>
      </c>
      <c r="H14" s="7">
        <f t="shared" ref="H14" si="7">C14-G14</f>
        <v>10000</v>
      </c>
      <c r="I14" s="40">
        <f t="shared" ref="I14" si="8">IF(C14=0,"NA",H14/C14)</f>
        <v>1</v>
      </c>
      <c r="J14" s="45"/>
      <c r="K14" s="1"/>
      <c r="L14" s="138"/>
      <c r="M14" s="138"/>
      <c r="N14" s="138"/>
      <c r="O14" s="138"/>
      <c r="P14" s="138"/>
      <c r="Q14" s="1"/>
      <c r="R14" s="1"/>
      <c r="S14" s="1"/>
    </row>
    <row r="15" spans="1:20" s="5" customFormat="1" x14ac:dyDescent="0.25">
      <c r="A15" s="6" t="s">
        <v>21</v>
      </c>
      <c r="B15" s="7">
        <v>45882.429999999993</v>
      </c>
      <c r="C15" s="7">
        <v>1202279.0600000003</v>
      </c>
      <c r="D15" s="7">
        <v>0</v>
      </c>
      <c r="E15" s="7">
        <v>81584.12999999999</v>
      </c>
      <c r="F15" s="7">
        <v>0</v>
      </c>
      <c r="G15" s="7">
        <f t="shared" si="0"/>
        <v>81584.12999999999</v>
      </c>
      <c r="H15" s="7">
        <f t="shared" ref="H15" si="9">C15-G15</f>
        <v>1120694.9300000004</v>
      </c>
      <c r="I15" s="40">
        <f t="shared" ref="I15" si="10">IF(C15=0,"NA",H15/C15)</f>
        <v>0.93214210185112945</v>
      </c>
      <c r="J15" s="45"/>
      <c r="K15" s="1"/>
      <c r="L15" s="138"/>
      <c r="M15" s="138"/>
      <c r="N15" s="138"/>
      <c r="O15" s="138"/>
      <c r="P15" s="138"/>
      <c r="Q15" s="1"/>
      <c r="R15" s="1"/>
      <c r="S15" s="1"/>
    </row>
    <row r="16" spans="1:20" s="5" customFormat="1" x14ac:dyDescent="0.25">
      <c r="A16" s="6" t="s">
        <v>22</v>
      </c>
      <c r="B16" s="7">
        <v>1000000</v>
      </c>
      <c r="C16" s="7">
        <v>1000000</v>
      </c>
      <c r="D16" s="7">
        <v>0</v>
      </c>
      <c r="E16" s="7">
        <v>0</v>
      </c>
      <c r="F16" s="7">
        <v>0</v>
      </c>
      <c r="G16" s="7">
        <f t="shared" si="0"/>
        <v>0</v>
      </c>
      <c r="H16" s="7">
        <f t="shared" ref="H16" si="11">C16-G16</f>
        <v>1000000</v>
      </c>
      <c r="I16" s="40">
        <f t="shared" ref="I16" si="12">IF(C16=0,"NA",H16/C16)</f>
        <v>1</v>
      </c>
      <c r="J16" s="45"/>
      <c r="K16" s="1"/>
      <c r="L16" s="138"/>
      <c r="M16" s="138"/>
      <c r="N16" s="138"/>
      <c r="O16" s="138"/>
      <c r="P16" s="138"/>
      <c r="Q16" s="1"/>
      <c r="R16" s="1"/>
      <c r="S16" s="1"/>
      <c r="T16" s="1"/>
    </row>
    <row r="17" spans="1:20" s="5" customFormat="1" x14ac:dyDescent="0.25">
      <c r="A17" s="6" t="s">
        <v>34</v>
      </c>
      <c r="B17" s="7">
        <v>729323049.63999987</v>
      </c>
      <c r="C17" s="7">
        <v>453723966.15999985</v>
      </c>
      <c r="D17" s="7">
        <v>3034271.6799999997</v>
      </c>
      <c r="E17" s="7">
        <v>12544142.100000001</v>
      </c>
      <c r="F17" s="7">
        <v>47475290.250000007</v>
      </c>
      <c r="G17" s="7">
        <f t="shared" si="0"/>
        <v>60019432.350000009</v>
      </c>
      <c r="H17" s="7">
        <f>C17-G17</f>
        <v>393704533.80999982</v>
      </c>
      <c r="I17" s="40">
        <f t="shared" si="2"/>
        <v>0.86771817927546957</v>
      </c>
      <c r="J17" s="45"/>
      <c r="K17" s="1"/>
      <c r="L17" s="138"/>
      <c r="M17" s="138"/>
      <c r="N17" s="138"/>
      <c r="O17" s="138"/>
      <c r="P17" s="138"/>
      <c r="Q17" s="1"/>
      <c r="R17" s="1"/>
      <c r="S17" s="1"/>
      <c r="T17" s="1"/>
    </row>
    <row r="18" spans="1:20" s="5" customFormat="1" x14ac:dyDescent="0.25">
      <c r="A18" s="6" t="s">
        <v>26</v>
      </c>
      <c r="B18" s="7">
        <v>83403442</v>
      </c>
      <c r="C18" s="7">
        <v>83403442</v>
      </c>
      <c r="D18" s="7">
        <v>0</v>
      </c>
      <c r="E18" s="7">
        <v>0</v>
      </c>
      <c r="F18" s="7">
        <v>0</v>
      </c>
      <c r="G18" s="7">
        <f t="shared" si="0"/>
        <v>0</v>
      </c>
      <c r="H18" s="7">
        <f>C18-G18</f>
        <v>83403442</v>
      </c>
      <c r="I18" s="40">
        <f t="shared" si="2"/>
        <v>1</v>
      </c>
      <c r="J18" s="46"/>
      <c r="K18" s="1"/>
      <c r="L18" s="138"/>
      <c r="M18" s="138"/>
      <c r="N18" s="138"/>
      <c r="O18" s="138"/>
      <c r="P18" s="138"/>
      <c r="Q18" s="1"/>
      <c r="R18" s="1"/>
      <c r="S18" s="1"/>
      <c r="T18" s="1"/>
    </row>
    <row r="19" spans="1:20" s="5" customFormat="1" x14ac:dyDescent="0.25">
      <c r="A19" s="6" t="s">
        <v>25</v>
      </c>
      <c r="B19" s="7">
        <v>5572080</v>
      </c>
      <c r="C19" s="7">
        <v>5572080</v>
      </c>
      <c r="D19" s="7">
        <v>0</v>
      </c>
      <c r="E19" s="7">
        <v>0</v>
      </c>
      <c r="F19" s="7">
        <v>0</v>
      </c>
      <c r="G19" s="7">
        <f t="shared" si="0"/>
        <v>0</v>
      </c>
      <c r="H19" s="7">
        <f>C19-G19</f>
        <v>5572080</v>
      </c>
      <c r="I19" s="40">
        <f t="shared" si="2"/>
        <v>1</v>
      </c>
      <c r="J19" s="45"/>
      <c r="K19" s="1"/>
      <c r="L19" s="138"/>
      <c r="M19" s="138"/>
      <c r="N19" s="138"/>
      <c r="O19" s="138"/>
      <c r="P19" s="138"/>
      <c r="Q19" s="1"/>
      <c r="R19" s="1"/>
      <c r="S19" s="1"/>
      <c r="T19" s="1"/>
    </row>
    <row r="20" spans="1:20" s="5" customFormat="1" x14ac:dyDescent="0.25">
      <c r="A20" s="10" t="s">
        <v>27</v>
      </c>
      <c r="B20" s="11">
        <f t="shared" ref="B20:H20" si="13">SUM(B13:B19)</f>
        <v>819349454.06999981</v>
      </c>
      <c r="C20" s="11">
        <f t="shared" si="13"/>
        <v>544916767.21999979</v>
      </c>
      <c r="D20" s="11">
        <f t="shared" si="13"/>
        <v>3171732.76</v>
      </c>
      <c r="E20" s="11">
        <f t="shared" si="13"/>
        <v>12965109.430000002</v>
      </c>
      <c r="F20" s="11">
        <f t="shared" si="13"/>
        <v>50511717.000000007</v>
      </c>
      <c r="G20" s="11">
        <f t="shared" si="13"/>
        <v>63476826.430000007</v>
      </c>
      <c r="H20" s="11">
        <f t="shared" si="13"/>
        <v>481439940.78999984</v>
      </c>
      <c r="I20" s="37">
        <f t="shared" si="2"/>
        <v>0.88351096855793321</v>
      </c>
      <c r="J20" s="46"/>
      <c r="K20" s="1"/>
      <c r="L20" s="138"/>
      <c r="M20" s="138"/>
      <c r="N20" s="138"/>
      <c r="O20" s="138"/>
      <c r="P20" s="138"/>
      <c r="Q20" s="1"/>
      <c r="R20" s="1"/>
      <c r="S20" s="1"/>
      <c r="T20" s="1"/>
    </row>
    <row r="21" spans="1:20" s="5" customFormat="1" x14ac:dyDescent="0.25">
      <c r="A21" s="13"/>
      <c r="B21" s="14"/>
      <c r="C21" s="14"/>
      <c r="D21" s="14"/>
      <c r="E21" s="14"/>
      <c r="F21" s="14"/>
      <c r="G21" s="14"/>
      <c r="H21" s="14"/>
      <c r="I21" s="16"/>
      <c r="J21" s="47"/>
      <c r="K21" s="1"/>
      <c r="L21" s="138"/>
      <c r="M21" s="138"/>
      <c r="N21" s="138"/>
      <c r="O21" s="138"/>
      <c r="P21" s="138"/>
      <c r="Q21" s="1"/>
      <c r="R21" s="1"/>
      <c r="S21" s="1"/>
      <c r="T21" s="1"/>
    </row>
    <row r="22" spans="1:20" s="5" customFormat="1" ht="24.95" customHeight="1" x14ac:dyDescent="0.25">
      <c r="A22" s="6" t="s">
        <v>28</v>
      </c>
      <c r="B22" s="7">
        <f>B12-B20</f>
        <v>-387559454.06999981</v>
      </c>
      <c r="C22" s="7">
        <f>C12-C20</f>
        <v>-113116767.21999979</v>
      </c>
      <c r="D22" s="7">
        <f>D12-D20</f>
        <v>9529330.6900000013</v>
      </c>
      <c r="E22" s="7">
        <f>E12-E20</f>
        <v>25254028.460000001</v>
      </c>
      <c r="F22" s="7"/>
      <c r="G22" s="7">
        <f>G12-G20</f>
        <v>-25257688.540000007</v>
      </c>
      <c r="H22" s="7">
        <f>H12-H20</f>
        <v>-87859078.679999828</v>
      </c>
      <c r="I22" s="17"/>
      <c r="J22" s="48"/>
      <c r="K22" s="1"/>
      <c r="L22" s="138"/>
      <c r="M22" s="138"/>
      <c r="N22" s="138"/>
      <c r="O22" s="138"/>
      <c r="P22" s="138"/>
      <c r="Q22" s="1"/>
      <c r="R22" s="1"/>
      <c r="S22" s="1"/>
      <c r="T22" s="1"/>
    </row>
    <row r="23" spans="1:20" s="5" customFormat="1" ht="24.95" customHeight="1" x14ac:dyDescent="0.25">
      <c r="A23" s="8"/>
      <c r="B23" s="9"/>
      <c r="C23" s="9"/>
      <c r="D23" s="9"/>
      <c r="E23" s="9"/>
      <c r="F23" s="9"/>
      <c r="G23" s="9"/>
      <c r="H23" s="9"/>
      <c r="I23" s="18"/>
      <c r="J23" s="48"/>
      <c r="K23" s="1"/>
      <c r="L23" s="138"/>
      <c r="M23" s="138"/>
      <c r="N23" s="138"/>
      <c r="O23" s="138"/>
      <c r="P23" s="138"/>
      <c r="Q23" s="1"/>
      <c r="R23" s="1"/>
      <c r="S23" s="1"/>
      <c r="T23" s="1"/>
    </row>
    <row r="24" spans="1:20" s="5" customFormat="1" x14ac:dyDescent="0.25">
      <c r="A24" s="19" t="s">
        <v>78</v>
      </c>
      <c r="B24" s="21"/>
      <c r="C24" s="21"/>
      <c r="D24" s="21"/>
      <c r="E24" s="21">
        <v>364500000</v>
      </c>
      <c r="F24" s="21"/>
      <c r="G24" s="21">
        <f>E24</f>
        <v>364500000</v>
      </c>
      <c r="H24" s="21"/>
      <c r="I24" s="22"/>
      <c r="J24" s="47"/>
      <c r="K24" s="1"/>
      <c r="L24" s="138"/>
      <c r="M24" s="138"/>
      <c r="N24" s="138"/>
      <c r="O24" s="138"/>
      <c r="P24" s="138"/>
      <c r="Q24" s="1"/>
      <c r="R24" s="1"/>
      <c r="S24" s="1"/>
      <c r="T24" s="1"/>
    </row>
    <row r="25" spans="1:20" ht="15.75" thickBot="1" x14ac:dyDescent="0.3">
      <c r="A25" s="23" t="s">
        <v>29</v>
      </c>
      <c r="B25" s="25"/>
      <c r="C25" s="25"/>
      <c r="D25" s="25"/>
      <c r="E25" s="25">
        <f>SUM(E22:E24)</f>
        <v>389754028.45999998</v>
      </c>
      <c r="F25" s="25"/>
      <c r="G25" s="25">
        <f>SUM(G22:G24)</f>
        <v>339242311.45999998</v>
      </c>
      <c r="H25" s="25"/>
      <c r="I25" s="26"/>
    </row>
    <row r="26" spans="1:20" x14ac:dyDescent="0.25">
      <c r="A26" s="5"/>
      <c r="B26" s="34"/>
      <c r="C26" s="34"/>
      <c r="D26" s="34"/>
      <c r="E26" s="34"/>
      <c r="F26" s="34"/>
      <c r="G26" s="34"/>
      <c r="H26" s="34"/>
      <c r="I26" s="5"/>
    </row>
    <row r="28" spans="1:20" x14ac:dyDescent="0.25">
      <c r="F28" s="49"/>
      <c r="G28" s="1"/>
      <c r="H28" s="138"/>
      <c r="I28" s="138"/>
      <c r="J28" s="138"/>
      <c r="K28" s="138"/>
      <c r="M28" s="1"/>
      <c r="N28" s="1"/>
      <c r="O28" s="1"/>
      <c r="P28" s="1"/>
    </row>
    <row r="29" spans="1:20" x14ac:dyDescent="0.25">
      <c r="F29" s="49"/>
      <c r="G29" s="1"/>
      <c r="H29" s="138"/>
      <c r="I29" s="138"/>
      <c r="J29" s="138"/>
      <c r="K29" s="138"/>
      <c r="M29" s="1"/>
      <c r="N29" s="1"/>
      <c r="O29" s="1"/>
      <c r="P29" s="1"/>
    </row>
    <row r="30" spans="1:20" x14ac:dyDescent="0.25">
      <c r="F30" s="49"/>
      <c r="G30" s="1"/>
      <c r="H30" s="138"/>
      <c r="I30" s="138"/>
      <c r="J30" s="138"/>
      <c r="K30" s="138"/>
      <c r="M30" s="1"/>
      <c r="N30" s="1"/>
      <c r="O30" s="1"/>
      <c r="P30" s="1"/>
    </row>
    <row r="31" spans="1:20" x14ac:dyDescent="0.25">
      <c r="F31" s="49"/>
      <c r="G31" s="1"/>
      <c r="H31" s="138"/>
      <c r="I31" s="138"/>
      <c r="J31" s="138"/>
      <c r="K31" s="138"/>
      <c r="M31" s="1"/>
      <c r="N31" s="1"/>
      <c r="O31" s="1"/>
      <c r="P31" s="1"/>
    </row>
    <row r="32" spans="1:20" x14ac:dyDescent="0.25">
      <c r="E32" s="1"/>
      <c r="F32" s="49"/>
      <c r="G32" s="1"/>
      <c r="H32" s="138"/>
      <c r="I32" s="138"/>
      <c r="J32" s="138"/>
      <c r="K32" s="138"/>
      <c r="M32" s="1"/>
      <c r="N32" s="1"/>
      <c r="O32" s="1"/>
      <c r="P32" s="1"/>
    </row>
    <row r="33" spans="5:16" x14ac:dyDescent="0.25">
      <c r="F33" s="49"/>
      <c r="G33" s="1"/>
      <c r="H33" s="138"/>
      <c r="I33" s="138"/>
      <c r="J33" s="138"/>
      <c r="K33" s="138"/>
      <c r="M33" s="1"/>
      <c r="N33" s="1"/>
      <c r="O33" s="1"/>
      <c r="P33" s="1"/>
    </row>
    <row r="34" spans="5:16" x14ac:dyDescent="0.25">
      <c r="F34" s="49"/>
      <c r="G34" s="1"/>
      <c r="H34" s="138"/>
      <c r="I34" s="138"/>
      <c r="J34" s="138"/>
      <c r="K34" s="138"/>
      <c r="M34" s="1"/>
      <c r="N34" s="1"/>
      <c r="O34" s="1"/>
      <c r="P34" s="1"/>
    </row>
    <row r="35" spans="5:16" x14ac:dyDescent="0.25">
      <c r="E35" s="1"/>
      <c r="F35" s="49"/>
      <c r="G35" s="1"/>
      <c r="H35" s="138"/>
      <c r="I35" s="138"/>
      <c r="J35" s="138"/>
      <c r="K35" s="138"/>
      <c r="M35" s="1"/>
      <c r="N35" s="1"/>
      <c r="O35" s="1"/>
      <c r="P35" s="1"/>
    </row>
    <row r="36" spans="5:16" x14ac:dyDescent="0.25">
      <c r="E36" s="1"/>
      <c r="F36" s="49"/>
      <c r="G36" s="1"/>
      <c r="H36" s="138"/>
      <c r="I36" s="138"/>
      <c r="J36" s="138"/>
      <c r="K36" s="138"/>
      <c r="M36" s="1"/>
      <c r="N36" s="1"/>
      <c r="O36" s="1"/>
      <c r="P36" s="1"/>
    </row>
    <row r="37" spans="5:16" x14ac:dyDescent="0.25">
      <c r="E37" s="1"/>
      <c r="F37" s="49"/>
      <c r="G37" s="1"/>
      <c r="H37" s="138"/>
      <c r="I37" s="138"/>
      <c r="J37" s="138"/>
      <c r="K37" s="138"/>
      <c r="M37" s="1"/>
      <c r="N37" s="1"/>
      <c r="O37" s="1"/>
      <c r="P37" s="1"/>
    </row>
    <row r="38" spans="5:16" x14ac:dyDescent="0.25">
      <c r="E38" s="1"/>
      <c r="F38" s="49"/>
      <c r="G38" s="1"/>
      <c r="H38" s="138"/>
      <c r="I38" s="138"/>
      <c r="J38" s="138"/>
      <c r="K38" s="138"/>
      <c r="M38" s="1"/>
      <c r="N38" s="1"/>
      <c r="O38" s="1"/>
      <c r="P38" s="1"/>
    </row>
    <row r="39" spans="5:16" x14ac:dyDescent="0.25">
      <c r="E39" s="1"/>
      <c r="F39" s="49"/>
      <c r="G39" s="1"/>
      <c r="H39" s="138"/>
      <c r="I39" s="138"/>
      <c r="J39" s="138"/>
      <c r="K39" s="138"/>
      <c r="M39" s="1"/>
      <c r="N39" s="1"/>
      <c r="O39" s="1"/>
      <c r="P39" s="1"/>
    </row>
    <row r="40" spans="5:16" x14ac:dyDescent="0.25">
      <c r="E40" s="1"/>
      <c r="F40" s="49"/>
      <c r="G40" s="1"/>
      <c r="H40" s="138"/>
      <c r="I40" s="138"/>
      <c r="J40" s="138"/>
      <c r="K40" s="138"/>
      <c r="M40" s="1"/>
      <c r="N40" s="1"/>
      <c r="O40" s="1"/>
      <c r="P40" s="1"/>
    </row>
    <row r="41" spans="5:16" x14ac:dyDescent="0.25">
      <c r="E41" s="1"/>
      <c r="F41" s="49"/>
      <c r="G41" s="1"/>
      <c r="H41" s="138"/>
      <c r="I41" s="138"/>
      <c r="J41" s="138"/>
      <c r="K41" s="138"/>
      <c r="M41" s="1"/>
      <c r="N41" s="1"/>
      <c r="O41" s="1"/>
      <c r="P41" s="1"/>
    </row>
    <row r="42" spans="5:16" x14ac:dyDescent="0.25">
      <c r="I42" s="31"/>
      <c r="J42" s="138"/>
      <c r="K42" s="138"/>
      <c r="M42" s="1"/>
      <c r="N42" s="1"/>
      <c r="O42" s="1"/>
      <c r="P42" s="1"/>
    </row>
    <row r="43" spans="5:16" x14ac:dyDescent="0.25">
      <c r="I43" s="31"/>
      <c r="J43" s="138"/>
      <c r="K43" s="138"/>
      <c r="O43" s="1"/>
      <c r="P43" s="1"/>
    </row>
    <row r="44" spans="5:16" x14ac:dyDescent="0.25">
      <c r="I44" s="31"/>
      <c r="J44" s="138"/>
      <c r="K44" s="138"/>
      <c r="O44" s="1"/>
      <c r="P44" s="1"/>
    </row>
    <row r="45" spans="5:16" x14ac:dyDescent="0.25">
      <c r="I45" s="31"/>
    </row>
    <row r="46" spans="5:16" x14ac:dyDescent="0.25">
      <c r="I46" s="31"/>
    </row>
    <row r="47" spans="5:16" x14ac:dyDescent="0.25">
      <c r="I47" s="31"/>
    </row>
    <row r="48" spans="5:16" x14ac:dyDescent="0.25">
      <c r="I48" s="31"/>
    </row>
    <row r="49" spans="9:9" x14ac:dyDescent="0.25">
      <c r="I49" s="31"/>
    </row>
    <row r="50" spans="9:9" x14ac:dyDescent="0.25">
      <c r="I50" s="31"/>
    </row>
    <row r="51" spans="9:9" x14ac:dyDescent="0.25">
      <c r="I51" s="31"/>
    </row>
    <row r="52" spans="9:9" x14ac:dyDescent="0.25">
      <c r="I52" s="31"/>
    </row>
    <row r="53" spans="9:9" x14ac:dyDescent="0.25">
      <c r="I53" s="31"/>
    </row>
    <row r="54" spans="9:9" x14ac:dyDescent="0.25">
      <c r="I54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52.28515625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8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8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18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8" x14ac:dyDescent="0.25">
      <c r="A4" s="155">
        <v>44865</v>
      </c>
      <c r="B4" s="155"/>
      <c r="C4" s="155"/>
      <c r="D4" s="155"/>
      <c r="E4" s="155"/>
      <c r="F4" s="155"/>
      <c r="G4" s="155"/>
      <c r="H4" s="155"/>
      <c r="I4" s="155"/>
    </row>
    <row r="5" spans="1:18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8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8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M7" s="139"/>
      <c r="N7" s="139"/>
      <c r="O7" s="139"/>
      <c r="P7" s="139"/>
      <c r="Q7" s="139"/>
      <c r="R7" s="139"/>
    </row>
    <row r="8" spans="1:18" s="5" customFormat="1" x14ac:dyDescent="0.2">
      <c r="A8" s="6" t="s">
        <v>8</v>
      </c>
      <c r="B8" s="7">
        <v>11694445.879999999</v>
      </c>
      <c r="C8" s="7">
        <v>11694445.879999999</v>
      </c>
      <c r="D8" s="7">
        <v>330269.94</v>
      </c>
      <c r="E8" s="7">
        <v>988310.0399999998</v>
      </c>
      <c r="F8" s="7">
        <v>0</v>
      </c>
      <c r="G8" s="7">
        <f t="shared" ref="G8:G17" si="0">SUM(E8:F8)</f>
        <v>988310.0399999998</v>
      </c>
      <c r="H8" s="7">
        <f t="shared" ref="H8:H12" si="1">C8-G8</f>
        <v>10706135.84</v>
      </c>
      <c r="I8" s="40">
        <f>IF(C8=0,"NA",H8/C8)</f>
        <v>0.91548893807014653</v>
      </c>
      <c r="M8" s="139"/>
      <c r="N8" s="139"/>
      <c r="O8" s="139"/>
      <c r="P8" s="139"/>
      <c r="Q8" s="139"/>
      <c r="R8" s="139"/>
    </row>
    <row r="9" spans="1:18" s="5" customFormat="1" x14ac:dyDescent="0.2">
      <c r="A9" s="6" t="s">
        <v>9</v>
      </c>
      <c r="B9" s="7">
        <v>0</v>
      </c>
      <c r="C9" s="7">
        <v>0</v>
      </c>
      <c r="D9" s="7">
        <v>12105.38</v>
      </c>
      <c r="E9" s="7">
        <v>37045.81</v>
      </c>
      <c r="F9" s="7">
        <v>0</v>
      </c>
      <c r="G9" s="7">
        <f t="shared" si="0"/>
        <v>37045.81</v>
      </c>
      <c r="H9" s="7">
        <f t="shared" si="1"/>
        <v>-37045.81</v>
      </c>
      <c r="I9" s="40" t="str">
        <f t="shared" ref="I9:I18" si="2">IF(C9=0,"NA",H9/C9)</f>
        <v>NA</v>
      </c>
      <c r="M9" s="139"/>
      <c r="N9" s="139"/>
      <c r="O9" s="139"/>
      <c r="P9" s="139"/>
      <c r="Q9" s="139"/>
      <c r="R9" s="139"/>
    </row>
    <row r="10" spans="1:18" s="5" customFormat="1" x14ac:dyDescent="0.2">
      <c r="A10" s="6" t="s">
        <v>10</v>
      </c>
      <c r="B10" s="7">
        <v>1214494</v>
      </c>
      <c r="C10" s="7">
        <v>1214494</v>
      </c>
      <c r="D10" s="7">
        <v>60627.999999999978</v>
      </c>
      <c r="E10" s="7">
        <v>444595.99999999994</v>
      </c>
      <c r="F10" s="7">
        <v>0</v>
      </c>
      <c r="G10" s="7">
        <f t="shared" si="0"/>
        <v>444595.99999999994</v>
      </c>
      <c r="H10" s="7">
        <f t="shared" si="1"/>
        <v>769898</v>
      </c>
      <c r="I10" s="40">
        <f t="shared" si="2"/>
        <v>0.63392491029185816</v>
      </c>
      <c r="M10" s="139"/>
      <c r="N10" s="139"/>
      <c r="O10" s="139"/>
      <c r="P10" s="139"/>
      <c r="Q10" s="139"/>
      <c r="R10" s="139"/>
    </row>
    <row r="11" spans="1:18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4140563.0200000042</v>
      </c>
      <c r="E11" s="7">
        <v>17720657.169999994</v>
      </c>
      <c r="F11" s="7">
        <v>0</v>
      </c>
      <c r="G11" s="7">
        <f t="shared" si="0"/>
        <v>17720657.169999994</v>
      </c>
      <c r="H11" s="7">
        <f t="shared" si="1"/>
        <v>35671157.95000001</v>
      </c>
      <c r="I11" s="40">
        <f t="shared" si="2"/>
        <v>0.66810161575941585</v>
      </c>
      <c r="M11" s="139"/>
      <c r="N11" s="139"/>
      <c r="O11" s="139"/>
      <c r="P11" s="139"/>
      <c r="Q11" s="139"/>
      <c r="R11" s="139"/>
    </row>
    <row r="12" spans="1:18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40">
        <f t="shared" si="2"/>
        <v>1</v>
      </c>
      <c r="M12" s="139"/>
      <c r="N12" s="139"/>
      <c r="O12" s="139"/>
      <c r="P12" s="139"/>
      <c r="Q12" s="139"/>
      <c r="R12" s="139"/>
    </row>
    <row r="13" spans="1:18" s="5" customFormat="1" ht="24.95" customHeight="1" x14ac:dyDescent="0.2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4543566.3400000045</v>
      </c>
      <c r="E13" s="11">
        <f t="shared" si="3"/>
        <v>19190609.019999996</v>
      </c>
      <c r="F13" s="11">
        <f t="shared" si="3"/>
        <v>0</v>
      </c>
      <c r="G13" s="11">
        <f t="shared" si="3"/>
        <v>19190609.019999996</v>
      </c>
      <c r="H13" s="11">
        <f t="shared" si="3"/>
        <v>49910145.980000012</v>
      </c>
      <c r="I13" s="37">
        <f t="shared" si="2"/>
        <v>0.72228076205534963</v>
      </c>
      <c r="M13" s="139"/>
      <c r="N13" s="139"/>
      <c r="O13" s="139"/>
      <c r="P13" s="139"/>
      <c r="Q13" s="139"/>
      <c r="R13" s="139"/>
    </row>
    <row r="14" spans="1:18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40" t="str">
        <f t="shared" si="2"/>
        <v>NA</v>
      </c>
      <c r="M14" s="139"/>
      <c r="N14" s="139"/>
      <c r="O14" s="139"/>
      <c r="P14" s="139"/>
      <c r="Q14" s="139"/>
      <c r="R14" s="139"/>
    </row>
    <row r="15" spans="1:18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  <c r="M15" s="139"/>
      <c r="N15" s="139"/>
      <c r="O15" s="139"/>
      <c r="P15" s="139"/>
      <c r="Q15" s="139"/>
      <c r="R15" s="139"/>
    </row>
    <row r="16" spans="1:18" s="5" customFormat="1" x14ac:dyDescent="0.25">
      <c r="A16" s="6" t="s">
        <v>31</v>
      </c>
      <c r="B16" s="7">
        <v>68718996.969999984</v>
      </c>
      <c r="C16" s="7">
        <v>68620215.969999984</v>
      </c>
      <c r="D16" s="7">
        <v>5734976.5699999975</v>
      </c>
      <c r="E16" s="7">
        <v>14554111.399999984</v>
      </c>
      <c r="F16" s="7">
        <v>6945283.2199999988</v>
      </c>
      <c r="G16" s="7">
        <f t="shared" si="0"/>
        <v>21499394.619999982</v>
      </c>
      <c r="H16" s="7">
        <f t="shared" si="4"/>
        <v>47120821.350000001</v>
      </c>
      <c r="I16" s="40">
        <f t="shared" si="2"/>
        <v>0.68669007644337221</v>
      </c>
      <c r="L16" s="1"/>
      <c r="M16" s="138"/>
      <c r="N16" s="138"/>
      <c r="O16" s="138"/>
      <c r="P16" s="138"/>
      <c r="Q16" s="138"/>
      <c r="R16" s="138"/>
    </row>
    <row r="17" spans="1:20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38"/>
      <c r="N17" s="138"/>
      <c r="O17" s="138"/>
      <c r="P17" s="138"/>
      <c r="Q17" s="138"/>
      <c r="R17" s="138"/>
    </row>
    <row r="18" spans="1:20" s="5" customFormat="1" ht="24.95" customHeight="1" x14ac:dyDescent="0.25">
      <c r="A18" s="10" t="s">
        <v>27</v>
      </c>
      <c r="B18" s="11">
        <f>SUM(B14:B17)</f>
        <v>68785786.969999984</v>
      </c>
      <c r="C18" s="11">
        <f t="shared" ref="C18:G18" si="5">SUM(C14:C17)</f>
        <v>68620215.969999984</v>
      </c>
      <c r="D18" s="11">
        <f t="shared" si="5"/>
        <v>5734976.5699999975</v>
      </c>
      <c r="E18" s="11">
        <f t="shared" si="5"/>
        <v>14554111.399999984</v>
      </c>
      <c r="F18" s="11">
        <f t="shared" si="5"/>
        <v>6945283.2199999988</v>
      </c>
      <c r="G18" s="11">
        <f t="shared" si="5"/>
        <v>21499394.619999982</v>
      </c>
      <c r="H18" s="11">
        <f t="shared" ref="H18" si="6">SUM(H14:H17)</f>
        <v>47120821.350000001</v>
      </c>
      <c r="I18" s="37">
        <f t="shared" si="2"/>
        <v>0.68669007644337221</v>
      </c>
      <c r="L18" s="1"/>
      <c r="M18" s="138"/>
      <c r="N18" s="138"/>
      <c r="O18" s="138"/>
      <c r="P18" s="138"/>
      <c r="Q18" s="138"/>
      <c r="R18" s="138"/>
      <c r="S18" s="1"/>
    </row>
    <row r="19" spans="1:20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38"/>
      <c r="N19" s="138"/>
      <c r="O19" s="138"/>
      <c r="P19" s="138"/>
      <c r="Q19" s="138"/>
      <c r="R19" s="138"/>
      <c r="S19" s="1"/>
    </row>
    <row r="20" spans="1:20" s="5" customFormat="1" x14ac:dyDescent="0.25">
      <c r="A20" s="6" t="s">
        <v>28</v>
      </c>
      <c r="B20" s="7">
        <f>B13-B18</f>
        <v>314968.03000001609</v>
      </c>
      <c r="C20" s="7">
        <f>C13-C18</f>
        <v>480539.03000001609</v>
      </c>
      <c r="D20" s="7">
        <f>D13-D18</f>
        <v>-1191410.229999993</v>
      </c>
      <c r="E20" s="7">
        <f>E13-E18</f>
        <v>4636497.6200000122</v>
      </c>
      <c r="F20" s="7"/>
      <c r="G20" s="7">
        <f>G13-G18</f>
        <v>-2308785.5999999866</v>
      </c>
      <c r="H20" s="7">
        <f>H13-H18</f>
        <v>2789324.6300000101</v>
      </c>
      <c r="I20" s="17"/>
      <c r="L20" s="1"/>
      <c r="M20" s="138"/>
      <c r="N20" s="138"/>
      <c r="O20" s="138"/>
      <c r="P20" s="138"/>
      <c r="Q20" s="138"/>
      <c r="R20" s="138"/>
      <c r="S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"/>
      <c r="N21" s="1"/>
      <c r="O21" s="1"/>
      <c r="P21" s="1"/>
      <c r="Q21" s="1"/>
      <c r="R21" s="1"/>
      <c r="S21" s="1"/>
      <c r="T21" s="1"/>
    </row>
    <row r="22" spans="1:20" s="5" customFormat="1" x14ac:dyDescent="0.25">
      <c r="A22" s="19" t="s">
        <v>78</v>
      </c>
      <c r="B22" s="21"/>
      <c r="C22" s="21"/>
      <c r="D22" s="21"/>
      <c r="E22" s="21">
        <v>18476000</v>
      </c>
      <c r="F22" s="21"/>
      <c r="G22" s="21">
        <f>E22</f>
        <v>18476000</v>
      </c>
      <c r="H22" s="21"/>
      <c r="I22" s="22"/>
      <c r="L22" s="1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23112497.620000012</v>
      </c>
      <c r="F23" s="25"/>
      <c r="G23" s="25">
        <f>SUM(G20:G22)</f>
        <v>16167214.400000013</v>
      </c>
      <c r="H23" s="25"/>
      <c r="I23" s="26"/>
      <c r="L23" s="1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5" customFormat="1" x14ac:dyDescent="0.25">
      <c r="B25" s="31"/>
      <c r="C25" s="31"/>
      <c r="D25" s="31"/>
      <c r="E25" s="31"/>
      <c r="F25" s="31"/>
      <c r="G25" s="14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0" s="5" customFormat="1" x14ac:dyDescent="0.25">
      <c r="A26" s="1"/>
      <c r="B26" s="31"/>
      <c r="C26" s="31"/>
      <c r="D26" s="31"/>
      <c r="E26" s="31"/>
      <c r="F26" s="31"/>
      <c r="G26" s="31"/>
      <c r="H26" s="3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0" x14ac:dyDescent="0.25">
      <c r="G27" s="1"/>
    </row>
    <row r="30" spans="1:20" x14ac:dyDescent="0.25">
      <c r="G30" s="1"/>
      <c r="H30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25589-3B97-4A8E-BFB5-F8CAEDF79A9D}">
  <ds:schemaRefs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microsoft.com/office/2006/metadata/properties"/>
    <ds:schemaRef ds:uri="http://purl.org/dc/terms/"/>
    <ds:schemaRef ds:uri="edc4a2e3-56ec-4fd2-a9db-893721e9ab6c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Dan Copeland</cp:lastModifiedBy>
  <cp:lastPrinted>2022-11-16T16:35:31Z</cp:lastPrinted>
  <dcterms:created xsi:type="dcterms:W3CDTF">2020-01-29T12:55:36Z</dcterms:created>
  <dcterms:modified xsi:type="dcterms:W3CDTF">2022-11-16T18:31:46Z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