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1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0" l="1"/>
  <c r="K19" i="10"/>
  <c r="K18" i="10"/>
  <c r="K17" i="10"/>
  <c r="K14" i="10"/>
  <c r="K13" i="10"/>
  <c r="K11" i="10"/>
  <c r="K10" i="10"/>
  <c r="K9" i="10"/>
  <c r="I42" i="10" l="1"/>
  <c r="I41" i="10"/>
  <c r="I40" i="10"/>
  <c r="J19" i="10"/>
  <c r="J18" i="10"/>
  <c r="J17" i="10"/>
  <c r="J16" i="10"/>
  <c r="J14" i="10"/>
  <c r="J11" i="10"/>
  <c r="J10" i="10"/>
  <c r="J9" i="10"/>
  <c r="C40" i="10" l="1"/>
  <c r="C41" i="10"/>
  <c r="C42" i="10"/>
  <c r="C43" i="10"/>
  <c r="I19" i="10"/>
  <c r="I18" i="10"/>
  <c r="I17" i="10"/>
  <c r="I13" i="10"/>
  <c r="I14" i="10"/>
  <c r="I11" i="10"/>
  <c r="I9" i="10"/>
  <c r="G11" i="3"/>
  <c r="G12" i="3"/>
  <c r="I29" i="2"/>
  <c r="G29" i="2"/>
  <c r="H29" i="2" s="1"/>
  <c r="G14" i="4" l="1"/>
  <c r="H14" i="4" s="1"/>
  <c r="I14" i="4" s="1"/>
  <c r="H19" i="10" l="1"/>
  <c r="H18" i="10"/>
  <c r="H17" i="10"/>
  <c r="H16" i="10"/>
  <c r="H14" i="10"/>
  <c r="H13" i="10"/>
  <c r="H11" i="10"/>
  <c r="H10" i="10"/>
  <c r="H9" i="10"/>
  <c r="F42" i="10" l="1"/>
  <c r="G19" i="10"/>
  <c r="G18" i="10"/>
  <c r="G17" i="10"/>
  <c r="G16" i="10"/>
  <c r="G14" i="10"/>
  <c r="G13" i="10"/>
  <c r="G11" i="10"/>
  <c r="G10" i="10"/>
  <c r="G9" i="10"/>
  <c r="F19" i="10" l="1"/>
  <c r="F18" i="10"/>
  <c r="F17" i="10"/>
  <c r="F16" i="10"/>
  <c r="F14" i="10"/>
  <c r="F11" i="10"/>
  <c r="F10" i="10"/>
  <c r="F9" i="10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20" i="4" l="1"/>
  <c r="G19" i="4"/>
  <c r="G18" i="4"/>
  <c r="G16" i="4"/>
  <c r="G15" i="4"/>
  <c r="G13" i="4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 l="1"/>
  <c r="T21" i="10"/>
  <c r="U25" i="10"/>
  <c r="C12" i="4" l="1"/>
  <c r="D12" i="4"/>
  <c r="E12" i="4"/>
  <c r="F12" i="4"/>
  <c r="B12" i="4"/>
  <c r="H15" i="4"/>
  <c r="I15" i="4" s="1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7" i="1"/>
  <c r="I27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N48" i="10" s="1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5" i="4"/>
  <c r="G17" i="3"/>
  <c r="G36" i="2"/>
  <c r="G33" i="1"/>
  <c r="C18" i="5"/>
  <c r="D18" i="5"/>
  <c r="E18" i="5"/>
  <c r="F18" i="5"/>
  <c r="B18" i="5"/>
  <c r="B21" i="4"/>
  <c r="C21" i="4"/>
  <c r="D21" i="4"/>
  <c r="E21" i="4"/>
  <c r="F21" i="4"/>
  <c r="H16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H19" i="4"/>
  <c r="I19" i="4" s="1"/>
  <c r="H20" i="4"/>
  <c r="I20" i="4" s="1"/>
  <c r="H18" i="4"/>
  <c r="I18" i="4" s="1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H10" i="2" l="1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3" i="4"/>
  <c r="D34" i="2"/>
  <c r="C34" i="2"/>
  <c r="B31" i="1"/>
  <c r="E15" i="3"/>
  <c r="E18" i="3" s="1"/>
  <c r="D15" i="3"/>
  <c r="B34" i="2"/>
  <c r="D31" i="1"/>
  <c r="C31" i="1"/>
  <c r="G12" i="1"/>
  <c r="G13" i="5"/>
  <c r="B23" i="4"/>
  <c r="H18" i="5"/>
  <c r="I18" i="5" s="1"/>
  <c r="G18" i="5"/>
  <c r="G12" i="4"/>
  <c r="E23" i="4"/>
  <c r="E26" i="4" s="1"/>
  <c r="D23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6" i="4"/>
  <c r="H21" i="4"/>
  <c r="I21" i="4" s="1"/>
  <c r="C46" i="10"/>
  <c r="F51" i="10"/>
  <c r="G21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9" i="10"/>
  <c r="T25" i="10" s="1"/>
  <c r="C6" i="10"/>
  <c r="B16" i="10" s="1"/>
  <c r="C16" i="10" s="1"/>
  <c r="G31" i="1"/>
  <c r="G36" i="1" s="1"/>
  <c r="G34" i="2"/>
  <c r="G37" i="2" s="1"/>
  <c r="G20" i="5"/>
  <c r="G23" i="5" s="1"/>
  <c r="G15" i="3"/>
  <c r="G18" i="3" s="1"/>
  <c r="H12" i="1"/>
  <c r="I12" i="1" s="1"/>
  <c r="I11" i="1"/>
  <c r="G23" i="4"/>
  <c r="G26" i="4" s="1"/>
  <c r="H13" i="2"/>
  <c r="I8" i="2"/>
  <c r="H20" i="5"/>
  <c r="I13" i="5"/>
  <c r="G51" i="10"/>
  <c r="F53" i="10"/>
  <c r="D46" i="10"/>
  <c r="B55" i="10" s="1"/>
  <c r="I12" i="4"/>
  <c r="H23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<sst xmlns="http://schemas.openxmlformats.org/spreadsheetml/2006/main" count="267" uniqueCount="84">
  <si>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</si>
  <si>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</si>
  <si>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</si>
  <si>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</si>
  <si>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</si>
  <si>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</si>
  <si>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</si>
  <si>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</si>
  <si>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</si>
  <si>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</si>
  <si>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</si>
  <si>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</si>
  <si>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</si>
  <si>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</si>
  <si>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</si>
  <si>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</si>
  <si>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</si>
  <si>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</si>
  <si>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</si>
  <si>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</si>
  <si>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</si>
  <si>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</si>
  <si>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</si>
  <si>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</si>
  <si>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</si>
  <si>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</si>
  <si>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</si>
  <si>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</si>
  <si>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</si>
  <si>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</si>
  <si>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FEDERAL SOURCES</t>
  </si>
  <si>
    <t xml:space="preserve">   SCHOOL NUTRITION PROGRAM</t>
  </si>
  <si>
    <t xml:space="preserve">   FEDERAL GRANT ADMINISTRATION</t>
  </si>
  <si>
    <t xml:space="preserve">   ENTERPRISE OPERATIONS</t>
  </si>
  <si>
    <t xml:space="preserve">   FACILITIES ACQUISITION AND CONSTRUCTION SERVICES</t>
  </si>
  <si>
    <t>% of REMAINING BUDGET</t>
  </si>
  <si>
    <t>Description</t>
  </si>
  <si>
    <t>AMENDED BUDGET</t>
  </si>
  <si>
    <t>ORIGINAL BUDGET</t>
  </si>
  <si>
    <t xml:space="preserve">   COMMUNITY SERVICES OPERATIONS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</si>
  <si>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</si>
  <si>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</si>
  <si>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</si>
  <si>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</si>
  <si>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</si>
  <si>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</si>
  <si>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</si>
  <si>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</si>
  <si>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</si>
  <si>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</si>
  <si>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</si>
  <si>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</si>
  <si>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</si>
  <si>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</si>
  <si>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</si>
  <si>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</si>
  <si>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</si>
  <si>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</si>
  <si>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</si>
  <si>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</si>
  <si>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</si>
  <si>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</si>
  <si>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</si>
  <si>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</si>
  <si>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</si>
  <si>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</si>
  <si>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</si>
  <si>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</si>
  <si>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</si>
  <si>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</si>
  <si>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</si>
  <si>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</si>
  <si>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</si>
  <si>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</si>
  <si>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</si>
  <si>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</si>
  <si>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</si>
  <si>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</si>
  <si>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BEGINNING BALANCE (Estimated)</t>
  </si>
  <si>
    <t>ASSIGNED BALANCE (Gold Case)</t>
  </si>
  <si>
    <t>UNASSIGNED STARTING BALANCE (Estimated)</t>
  </si>
  <si>
    <t>TOTAL GENERAL OPERATIONS BUDGET
$1,325,425,689</t>
  </si>
  <si>
    <t>GENERAL OPERATIONS YTD EXPENSES
$630,385,735</t>
  </si>
  <si>
    <t>(LOCAL &amp; OTHER)  Budgeted: $801,934,155  Actual: $755,891,244  94.26%
(STATE)  Budgeted: $503,709,795  Actual: $205,802,427   40.86%
TOTAL Budgeted: $1,305,643,950  Actual: $1,010,557,384   77.40%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</si>
</sst>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10" fontId="2" fillId="3" borderId="11" xfId="1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  <xf numFmtId="40" fontId="11" fillId="0" borderId="0" xfId="2" applyNumberFormat="1" applyFont="1" applyAlignment="1">
      <alignment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3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8019623173983895E-2"/>
                  <c:y val="-3.7887379733386642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457122022234681"/>
                      <c:h val="8.078451406550203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2449211150511904E-2"/>
                  <c:y val="-2.7415494078754966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576935531002456"/>
                      <c:h val="9.573085451765638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695039954.33999848</c:v>
                </c:pt>
                <c:pt idx="1">
                  <c:v>630385734.88000154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1414441147381"/>
          <c:y val="0.93143596377749027"/>
          <c:w val="0.43026706231454004"/>
          <c:h val="3.62225097024579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793743435029499"/>
          <c:y val="0.27229138670783221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.10346446162634881"/>
                  <c:y val="-4.5661073042879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4.1941467446960305E-2"/>
                  <c:y val="-7.63919460702109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6.383728613662519E-2"/>
                  <c:y val="-3.653099074886442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8689533166428521E-2"/>
                  <c:y val="3.9980305705792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3493814777666335E-2"/>
                  <c:y val="9.62004079532370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045827772029904E-2"/>
                  <c:y val="0.1131363163525574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63404386387509"/>
                      <c:h val="8.057483646702130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2.5031103810118017E-2"/>
                  <c:y val="1.47382917050742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3816262435600765"/>
                      <c:h val="9.3100555660443715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1.5798945392608368E-2"/>
                  <c:y val="4.41175882633852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9.0101222302076844E-2"/>
                  <c:y val="8.57907888453294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598160968134018"/>
                      <c:h val="6.8548866174336906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1.6409543591404133E-2"/>
                  <c:y val="0.13437535399753436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7.2480959940188138E-3"/>
                  <c:y val="0.115621943589914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264454781667837E-2"/>
                  <c:y val="-0.161121686305431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4801069876295556E-2"/>
                  <c:y val="-5.68753447426970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1.9030319304369808E-2"/>
                  <c:y val="7.16080095065690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7873489234106525E-2"/>
                  <c:y val="9.062484960888919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7.1238913591167199E-2"/>
                  <c:y val="-9.68589081512906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381233480.96000201</c:v>
                </c:pt>
                <c:pt idx="1">
                  <c:v>35912183.929999962</c:v>
                </c:pt>
                <c:pt idx="2">
                  <c:v>8107924.8000000045</c:v>
                </c:pt>
                <c:pt idx="3">
                  <c:v>42822.000000000036</c:v>
                </c:pt>
                <c:pt idx="4">
                  <c:v>6408243.5900000185</c:v>
                </c:pt>
                <c:pt idx="5">
                  <c:v>30897737.570000008</c:v>
                </c:pt>
                <c:pt idx="6">
                  <c:v>42365412.199999444</c:v>
                </c:pt>
                <c:pt idx="7">
                  <c:v>8926913.9799999986</c:v>
                </c:pt>
                <c:pt idx="8">
                  <c:v>67894828.269999996</c:v>
                </c:pt>
                <c:pt idx="9">
                  <c:v>32263511.690000005</c:v>
                </c:pt>
                <c:pt idx="10">
                  <c:v>15696121.449999999</c:v>
                </c:pt>
                <c:pt idx="11">
                  <c:v>544705.89</c:v>
                </c:pt>
                <c:pt idx="12">
                  <c:v>88884.799999999988</c:v>
                </c:pt>
                <c:pt idx="13">
                  <c:v>2963.75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$630,385,735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381233480.96000201</c:v>
                </c:pt>
                <c:pt idx="1">
                  <c:v>35912183.929999962</c:v>
                </c:pt>
                <c:pt idx="2">
                  <c:v>8107924.8000000045</c:v>
                </c:pt>
                <c:pt idx="3">
                  <c:v>42822.000000000036</c:v>
                </c:pt>
                <c:pt idx="4">
                  <c:v>6408243.5900000185</c:v>
                </c:pt>
                <c:pt idx="5">
                  <c:v>30897737.570000008</c:v>
                </c:pt>
                <c:pt idx="6">
                  <c:v>42365412.199999444</c:v>
                </c:pt>
                <c:pt idx="7">
                  <c:v>8926913.9799999986</c:v>
                </c:pt>
                <c:pt idx="8">
                  <c:v>67894828.269999996</c:v>
                </c:pt>
                <c:pt idx="9">
                  <c:v>32263511.690000005</c:v>
                </c:pt>
                <c:pt idx="10">
                  <c:v>15696121.449999999</c:v>
                </c:pt>
                <c:pt idx="11">
                  <c:v>544705.89</c:v>
                </c:pt>
                <c:pt idx="12">
                  <c:v>88884.799999999988</c:v>
                </c:pt>
                <c:pt idx="13">
                  <c:v>2963.75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6315848"/>
        <c:axId val="346319376"/>
      </c:barChart>
      <c:valAx>
        <c:axId val="346319376"/>
        <c:scaling>
          <c:orientation val="minMax"/>
          <c:max val="4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5848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3463158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800395899.48000002</c:v>
                </c:pt>
                <c:pt idx="1">
                  <c:v>90000</c:v>
                </c:pt>
                <c:pt idx="2">
                  <c:v>503709794.62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750211797.31999981</c:v>
                </c:pt>
                <c:pt idx="1">
                  <c:v>5669697.0899999999</c:v>
                </c:pt>
                <c:pt idx="2">
                  <c:v>254666140.5</c:v>
                </c:pt>
                <c:pt idx="3">
                  <c:v>9749.380000000001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$801,934,155  Actual: $755,891,244  94.26%
(STATE)  Budgeted: $503,709,795  Actual: $205,802,427   40.86%
TOTAL Budgeted: $1,305,643,950  Actual: $1,010,557,384   77.40%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$801,934,155  Actual: $755,891,244  94.26%
(STATE)  Budgeted: $503,709,795  Actual: $205,802,427   40.86%
TOTAL Budgeted: $1,305,643,950  Actual: $1,010,557,384   77.40%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684272"/>
        <c:axId val="4736732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$755,891,244  94.26%
(STATE)  Budgeted: $503,709,795  Actual: $205,802,427   40.86%
TOTAL Budgeted: $1,305,643,950  Actual: $1,010,557,384   77.40%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$755,891,244  94.26%
(STATE)  Budgeted: $503,709,795  Actual: $205,802,427   40.86%
TOTAL Budgeted: $1,305,643,950  Actual: $1,010,557,384   77.40%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$755,891,244  94.26%
(STATE)  Budgeted: $503,709,795  Actual: $205,802,427   40.86%
TOTAL Budgeted: $1,305,643,950  Actual: $1,010,557,384   77.40%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$755,891,244  94.26%
(STATE)  Budgeted: $503,709,795  Actual: $205,802,427   40.86%
TOTAL Budgeted: $1,305,643,950  Actual: $1,010,557,384   77.40%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47368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73296"/>
        <c:crosses val="autoZero"/>
        <c:auto val="1"/>
        <c:lblAlgn val="ctr"/>
        <c:lblOffset val="500"/>
        <c:noMultiLvlLbl val="0"/>
      </c:catAx>
      <c:valAx>
        <c:axId val="47367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84272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3" footer="0.3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5" bottom="0.5" header="0" footer="0.25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72" y="974837"/>
          <a:ext cx="5716848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$1,325,425,689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$630,385,735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$630,385,735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67573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$801,934,155  Actual: $755,891,244  94.26%</a:t>
          </a:r>
          <a:br>
            <a:rPr lang="en-US" sz="1100"/>
          </a:br>
          <a:r>
            <a:rPr lang="en-US" sz="1100"/>
            <a:t>(STATE)  Budgeted: $503,709,795  Actual: $205,802,427   40.86%</a:t>
          </a:r>
          <a:br>
            <a:rPr lang="en-US" sz="1100"/>
          </a:br>
          <a:r>
            <a:rPr lang="en-US" sz="1100"/>
            <a:t>TOTAL Budgeted: $1,305,643,950  Actual: $1,010,557,384   77.40%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" style="31" bestFit="1" customWidth="1"/>
    <col min="3" max="3" width="20.85546875" style="31" bestFit="1" customWidth="1"/>
    <col min="4" max="4" width="14.28515625" style="31" bestFit="1" customWidth="1"/>
    <col min="5" max="5" width="14.7109375" style="31" bestFit="1" customWidth="1"/>
    <col min="6" max="6" width="16.28515625" style="31" customWidth="1"/>
    <col min="7" max="7" width="15.28515625" style="31" customWidth="1"/>
    <col min="8" max="8" width="14.5703125" style="31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8" bestFit="1" customWidth="1"/>
    <col min="17" max="17" width="13.5703125" style="138" bestFit="1" customWidth="1"/>
    <col min="18" max="16384" width="9.140625" style="1"/>
  </cols>
  <sheetData>
    <row r="1" spans="1:17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L1" s="139"/>
      <c r="M1" s="139"/>
      <c r="N1" s="139"/>
      <c r="O1" s="139"/>
      <c r="P1" s="139"/>
    </row>
    <row r="2" spans="1:17" ht="18.75" x14ac:dyDescent="0.3">
      <c r="A2" s="151" t="s">
        <v>72</v>
      </c>
      <c r="B2" s="151"/>
      <c r="C2" s="151"/>
      <c r="D2" s="151"/>
      <c r="E2" s="151"/>
      <c r="F2" s="151"/>
      <c r="G2" s="151"/>
      <c r="H2" s="151"/>
      <c r="I2" s="151"/>
      <c r="L2" s="139"/>
      <c r="M2" s="139"/>
      <c r="N2" s="139"/>
      <c r="O2" s="139"/>
      <c r="P2" s="139"/>
    </row>
    <row r="3" spans="1:17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L3" s="139"/>
      <c r="M3" s="139"/>
      <c r="N3" s="139"/>
      <c r="O3" s="139"/>
      <c r="P3" s="139"/>
    </row>
    <row r="4" spans="1:17" x14ac:dyDescent="0.25">
      <c r="A4" s="152">
        <v>44957</v>
      </c>
      <c r="B4" s="152"/>
      <c r="C4" s="152"/>
      <c r="D4" s="152"/>
      <c r="E4" s="152"/>
      <c r="F4" s="152"/>
      <c r="G4" s="152"/>
      <c r="H4" s="152"/>
      <c r="I4" s="152"/>
      <c r="L4" s="139"/>
      <c r="M4" s="139"/>
      <c r="N4" s="139"/>
      <c r="O4" s="139"/>
      <c r="P4" s="139"/>
    </row>
    <row r="5" spans="1:17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L5" s="139"/>
      <c r="M5" s="139"/>
      <c r="N5" s="139"/>
      <c r="O5" s="139"/>
      <c r="P5" s="139"/>
    </row>
    <row r="6" spans="1:17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L6" s="139"/>
      <c r="M6" s="139"/>
      <c r="N6" s="139"/>
      <c r="O6" s="139"/>
      <c r="P6" s="139"/>
    </row>
    <row r="7" spans="1:17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  <c r="Q7" s="139"/>
    </row>
    <row r="8" spans="1:17" s="5" customFormat="1" x14ac:dyDescent="0.2">
      <c r="A8" s="6" t="s">
        <v>8</v>
      </c>
      <c r="B8" s="7">
        <v>800385570.48000002</v>
      </c>
      <c r="C8" s="7">
        <v>800395899.48000002</v>
      </c>
      <c r="D8" s="7">
        <v>15141582.530000001</v>
      </c>
      <c r="E8" s="7">
        <v>750211797.31999993</v>
      </c>
      <c r="F8" s="7">
        <v>0</v>
      </c>
      <c r="G8" s="7">
        <f t="shared" ref="G8:G28" si="0">SUM(E8:F8)</f>
        <v>750211797.31999993</v>
      </c>
      <c r="H8" s="7">
        <f t="shared" ref="H8:H11" si="1">C8-G8</f>
        <v>50184102.160000086</v>
      </c>
      <c r="I8" s="36">
        <f>IF(C8=0,"NA",H8/C8)</f>
        <v>6.2699099523877644E-2</v>
      </c>
      <c r="L8" s="139"/>
      <c r="M8" s="139"/>
      <c r="N8" s="139"/>
      <c r="O8" s="139"/>
      <c r="P8" s="139"/>
      <c r="Q8" s="139"/>
    </row>
    <row r="9" spans="1:17" s="5" customFormat="1" x14ac:dyDescent="0.2">
      <c r="A9" s="6" t="s">
        <v>9</v>
      </c>
      <c r="B9" s="7">
        <v>90000</v>
      </c>
      <c r="C9" s="7">
        <v>90000</v>
      </c>
      <c r="D9" s="7">
        <v>1722581.35</v>
      </c>
      <c r="E9" s="7">
        <v>5669697.0899999999</v>
      </c>
      <c r="F9" s="7">
        <v>0</v>
      </c>
      <c r="G9" s="7">
        <f>SUM(E9:F9)</f>
        <v>5669697.0899999999</v>
      </c>
      <c r="H9" s="7">
        <f>C9-G9</f>
        <v>-5579697.0899999999</v>
      </c>
      <c r="I9" s="36">
        <f t="shared" ref="I9:I28" si="2">IF(C9=0,"NA",H9/C9)</f>
        <v>-61.996634333333333</v>
      </c>
      <c r="L9" s="139"/>
      <c r="M9" s="139"/>
      <c r="N9" s="139"/>
      <c r="O9" s="139"/>
      <c r="P9" s="139"/>
      <c r="Q9" s="139"/>
    </row>
    <row r="10" spans="1:17" s="5" customFormat="1" x14ac:dyDescent="0.2">
      <c r="A10" s="6" t="s">
        <v>10</v>
      </c>
      <c r="B10" s="7">
        <v>502758836.51999998</v>
      </c>
      <c r="C10" s="7">
        <v>503709794.62</v>
      </c>
      <c r="D10" s="7">
        <v>48863713.230000004</v>
      </c>
      <c r="E10" s="7">
        <v>254666140.5</v>
      </c>
      <c r="F10" s="7">
        <v>0</v>
      </c>
      <c r="G10" s="7">
        <f t="shared" si="0"/>
        <v>254666140.5</v>
      </c>
      <c r="H10" s="7">
        <f t="shared" si="1"/>
        <v>249043654.12</v>
      </c>
      <c r="I10" s="36">
        <f t="shared" si="2"/>
        <v>0.49441892291945444</v>
      </c>
      <c r="L10" s="139"/>
      <c r="M10" s="139"/>
      <c r="N10" s="139"/>
      <c r="O10" s="139"/>
      <c r="P10" s="139"/>
      <c r="Q10" s="139"/>
    </row>
    <row r="11" spans="1:17" s="5" customFormat="1" x14ac:dyDescent="0.2">
      <c r="A11" s="6" t="s">
        <v>11</v>
      </c>
      <c r="B11" s="7">
        <v>1448256</v>
      </c>
      <c r="C11" s="7">
        <v>1448256</v>
      </c>
      <c r="D11" s="7">
        <v>-1143</v>
      </c>
      <c r="E11" s="7">
        <v>9749.3799999999992</v>
      </c>
      <c r="F11" s="7">
        <v>0</v>
      </c>
      <c r="G11" s="7">
        <f t="shared" si="0"/>
        <v>9749.3799999999992</v>
      </c>
      <c r="H11" s="7">
        <f t="shared" si="1"/>
        <v>1438506.62</v>
      </c>
      <c r="I11" s="36">
        <f t="shared" si="2"/>
        <v>0.99326819291616963</v>
      </c>
      <c r="L11" s="139"/>
      <c r="M11" s="139"/>
      <c r="N11" s="139"/>
      <c r="O11" s="139"/>
      <c r="P11" s="139"/>
      <c r="Q11" s="139"/>
    </row>
    <row r="12" spans="1:17" s="5" customFormat="1" x14ac:dyDescent="0.25">
      <c r="A12" s="10" t="s">
        <v>12</v>
      </c>
      <c r="B12" s="11">
        <f t="shared" ref="B12:H12" si="3">SUM(B8:B11)</f>
        <v>1304682663</v>
      </c>
      <c r="C12" s="11">
        <f t="shared" si="3"/>
        <v>1305643950.0999999</v>
      </c>
      <c r="D12" s="11">
        <f t="shared" si="3"/>
        <v>65726734.110000007</v>
      </c>
      <c r="E12" s="11">
        <f t="shared" si="3"/>
        <v>1010557384.29</v>
      </c>
      <c r="F12" s="11">
        <f t="shared" si="3"/>
        <v>0</v>
      </c>
      <c r="G12" s="11">
        <f t="shared" si="3"/>
        <v>1010557384.29</v>
      </c>
      <c r="H12" s="11">
        <f t="shared" si="3"/>
        <v>295086565.81000006</v>
      </c>
      <c r="I12" s="37">
        <f t="shared" si="2"/>
        <v>0.22600845030331526</v>
      </c>
      <c r="L12" s="138"/>
      <c r="M12" s="138"/>
      <c r="N12" s="138"/>
      <c r="O12" s="138"/>
      <c r="P12" s="138"/>
      <c r="Q12" s="139"/>
    </row>
    <row r="13" spans="1:17" s="5" customFormat="1" x14ac:dyDescent="0.25">
      <c r="A13" s="13" t="s">
        <v>13</v>
      </c>
      <c r="B13" s="14">
        <v>706077410.91999996</v>
      </c>
      <c r="C13" s="14">
        <v>706984047.68000019</v>
      </c>
      <c r="D13" s="14">
        <v>70932368.290001512</v>
      </c>
      <c r="E13" s="14">
        <v>381233480.96000201</v>
      </c>
      <c r="F13" s="14">
        <v>10975369.039999997</v>
      </c>
      <c r="G13" s="14">
        <f t="shared" si="0"/>
        <v>392208850.00000203</v>
      </c>
      <c r="H13" s="14">
        <f t="shared" ref="H13:H28" si="4">C13-G13</f>
        <v>314775197.67999816</v>
      </c>
      <c r="I13" s="36">
        <f t="shared" si="2"/>
        <v>0.44523663399895241</v>
      </c>
      <c r="L13" s="138"/>
      <c r="M13" s="138"/>
      <c r="N13" s="138"/>
      <c r="O13" s="138"/>
      <c r="P13" s="138"/>
      <c r="Q13" s="139"/>
    </row>
    <row r="14" spans="1:17" s="5" customFormat="1" x14ac:dyDescent="0.25">
      <c r="A14" s="6" t="s">
        <v>14</v>
      </c>
      <c r="B14" s="7">
        <v>138561844.03999999</v>
      </c>
      <c r="C14" s="7">
        <v>138178626.53999999</v>
      </c>
      <c r="D14" s="7">
        <v>6431955.3199999649</v>
      </c>
      <c r="E14" s="7">
        <v>35912183.929999955</v>
      </c>
      <c r="F14" s="7">
        <v>1946222.6199999999</v>
      </c>
      <c r="G14" s="7">
        <f t="shared" si="0"/>
        <v>37858406.549999952</v>
      </c>
      <c r="H14" s="7">
        <f t="shared" si="4"/>
        <v>100320219.99000004</v>
      </c>
      <c r="I14" s="36">
        <f t="shared" si="2"/>
        <v>0.7260183611751222</v>
      </c>
      <c r="L14" s="138"/>
      <c r="M14" s="138"/>
      <c r="N14" s="138"/>
      <c r="O14" s="138"/>
      <c r="P14" s="138"/>
      <c r="Q14" s="139"/>
    </row>
    <row r="15" spans="1:17" s="5" customFormat="1" x14ac:dyDescent="0.25">
      <c r="A15" s="6" t="s">
        <v>15</v>
      </c>
      <c r="B15" s="7">
        <v>24523630.5</v>
      </c>
      <c r="C15" s="7">
        <v>19583724.240000002</v>
      </c>
      <c r="D15" s="7">
        <v>1007257.4900000003</v>
      </c>
      <c r="E15" s="7">
        <v>8107924.8000000035</v>
      </c>
      <c r="F15" s="7">
        <v>270195.95</v>
      </c>
      <c r="G15" s="7">
        <f t="shared" si="0"/>
        <v>8378120.7500000037</v>
      </c>
      <c r="H15" s="7">
        <f t="shared" si="4"/>
        <v>11205603.489999998</v>
      </c>
      <c r="I15" s="36">
        <f t="shared" si="2"/>
        <v>0.57218960769026828</v>
      </c>
      <c r="L15" s="138"/>
      <c r="M15" s="138"/>
      <c r="N15" s="138"/>
      <c r="O15" s="138"/>
      <c r="P15" s="138"/>
      <c r="Q15" s="139"/>
    </row>
    <row r="16" spans="1:17" s="5" customFormat="1" x14ac:dyDescent="0.2">
      <c r="A16" s="6" t="s">
        <v>16</v>
      </c>
      <c r="B16" s="7">
        <v>1135153.98</v>
      </c>
      <c r="C16" s="7">
        <v>1156698.98</v>
      </c>
      <c r="D16" s="7">
        <v>-3290.4</v>
      </c>
      <c r="E16" s="7">
        <v>42822.000000000036</v>
      </c>
      <c r="F16" s="7">
        <v>2615</v>
      </c>
      <c r="G16" s="7">
        <f t="shared" si="0"/>
        <v>45437.000000000036</v>
      </c>
      <c r="H16" s="7">
        <f t="shared" si="4"/>
        <v>1111261.98</v>
      </c>
      <c r="I16" s="36">
        <f t="shared" si="2"/>
        <v>0.96071838846092872</v>
      </c>
      <c r="M16" s="139"/>
      <c r="N16" s="139"/>
      <c r="O16" s="139"/>
      <c r="P16" s="139"/>
      <c r="Q16" s="139"/>
    </row>
    <row r="17" spans="1:18" s="5" customFormat="1" x14ac:dyDescent="0.2">
      <c r="A17" s="6" t="s">
        <v>17</v>
      </c>
      <c r="B17" s="7">
        <v>16664317.899999974</v>
      </c>
      <c r="C17" s="7">
        <v>16824694.009999968</v>
      </c>
      <c r="D17" s="7">
        <v>1440021.4200000055</v>
      </c>
      <c r="E17" s="7">
        <v>6408243.5900000138</v>
      </c>
      <c r="F17" s="7">
        <v>87931.940000000017</v>
      </c>
      <c r="G17" s="7">
        <f t="shared" si="0"/>
        <v>6496175.5300000142</v>
      </c>
      <c r="H17" s="7">
        <f t="shared" si="4"/>
        <v>10328518.479999954</v>
      </c>
      <c r="I17" s="36">
        <f t="shared" si="2"/>
        <v>0.61389042046536291</v>
      </c>
      <c r="M17" s="139"/>
      <c r="N17" s="139"/>
      <c r="O17" s="139"/>
      <c r="P17" s="139"/>
      <c r="Q17" s="139"/>
    </row>
    <row r="18" spans="1:18" s="5" customFormat="1" x14ac:dyDescent="0.2">
      <c r="A18" s="6" t="s">
        <v>18</v>
      </c>
      <c r="B18" s="7">
        <v>44175446.220000006</v>
      </c>
      <c r="C18" s="7">
        <v>44298650.220000006</v>
      </c>
      <c r="D18" s="7">
        <v>1443954.7700000021</v>
      </c>
      <c r="E18" s="7">
        <v>30897737.570000008</v>
      </c>
      <c r="F18" s="7">
        <v>233144.94999999995</v>
      </c>
      <c r="G18" s="7">
        <f t="shared" si="0"/>
        <v>31130882.520000007</v>
      </c>
      <c r="H18" s="7">
        <f t="shared" si="4"/>
        <v>13167767.699999999</v>
      </c>
      <c r="I18" s="36">
        <f t="shared" si="2"/>
        <v>0.29724986279728677</v>
      </c>
      <c r="M18" s="139"/>
      <c r="N18" s="139"/>
      <c r="O18" s="139"/>
      <c r="P18" s="139"/>
      <c r="Q18" s="139"/>
    </row>
    <row r="19" spans="1:18" s="5" customFormat="1" x14ac:dyDescent="0.2">
      <c r="A19" s="6" t="s">
        <v>19</v>
      </c>
      <c r="B19" s="7">
        <v>74209903.609999985</v>
      </c>
      <c r="C19" s="7">
        <v>74181903.609999985</v>
      </c>
      <c r="D19" s="7">
        <v>6698085.3399999151</v>
      </c>
      <c r="E19" s="7">
        <v>42365412.199999914</v>
      </c>
      <c r="F19" s="7">
        <v>44770.66</v>
      </c>
      <c r="G19" s="7">
        <f t="shared" si="0"/>
        <v>42410182.85999991</v>
      </c>
      <c r="H19" s="7">
        <f t="shared" si="4"/>
        <v>31771720.750000075</v>
      </c>
      <c r="I19" s="36">
        <f t="shared" si="2"/>
        <v>0.42829476198177707</v>
      </c>
      <c r="M19" s="139"/>
      <c r="N19" s="139"/>
      <c r="O19" s="139"/>
      <c r="P19" s="139"/>
      <c r="Q19" s="139"/>
    </row>
    <row r="20" spans="1:18" s="5" customFormat="1" x14ac:dyDescent="0.2">
      <c r="A20" s="6" t="s">
        <v>20</v>
      </c>
      <c r="B20" s="7">
        <v>18798662.91</v>
      </c>
      <c r="C20" s="7">
        <v>18620458.91</v>
      </c>
      <c r="D20" s="7">
        <v>868464.77999999956</v>
      </c>
      <c r="E20" s="7">
        <v>8926913.9799999967</v>
      </c>
      <c r="F20" s="7">
        <v>1413737.92</v>
      </c>
      <c r="G20" s="7">
        <f t="shared" si="0"/>
        <v>10340651.899999997</v>
      </c>
      <c r="H20" s="7">
        <f t="shared" si="4"/>
        <v>8279807.0100000035</v>
      </c>
      <c r="I20" s="36">
        <f t="shared" si="2"/>
        <v>0.44466181258042925</v>
      </c>
      <c r="M20" s="139"/>
      <c r="N20" s="139"/>
      <c r="O20" s="139"/>
      <c r="P20" s="139"/>
      <c r="Q20" s="139"/>
    </row>
    <row r="21" spans="1:18" s="5" customFormat="1" x14ac:dyDescent="0.2">
      <c r="A21" s="6" t="s">
        <v>21</v>
      </c>
      <c r="B21" s="7">
        <v>180228363.12999997</v>
      </c>
      <c r="C21" s="7">
        <v>180565928.12999997</v>
      </c>
      <c r="D21" s="7">
        <v>9527834.4399999771</v>
      </c>
      <c r="E21" s="7">
        <v>67894828.269999966</v>
      </c>
      <c r="F21" s="7">
        <v>14039982.889999999</v>
      </c>
      <c r="G21" s="7">
        <f t="shared" si="0"/>
        <v>81934811.159999967</v>
      </c>
      <c r="H21" s="7">
        <f t="shared" si="4"/>
        <v>98631116.969999999</v>
      </c>
      <c r="I21" s="36">
        <f t="shared" si="2"/>
        <v>0.54623326776793513</v>
      </c>
      <c r="M21" s="139"/>
      <c r="N21" s="139"/>
      <c r="O21" s="139"/>
      <c r="P21" s="139"/>
      <c r="Q21" s="139"/>
    </row>
    <row r="22" spans="1:18" s="5" customFormat="1" x14ac:dyDescent="0.2">
      <c r="A22" s="6" t="s">
        <v>22</v>
      </c>
      <c r="B22" s="7">
        <v>81128867.840000004</v>
      </c>
      <c r="C22" s="7">
        <v>81595191.840000004</v>
      </c>
      <c r="D22" s="7">
        <v>5120574.38</v>
      </c>
      <c r="E22" s="7">
        <v>32263511.690000005</v>
      </c>
      <c r="F22" s="7">
        <v>5193366.04</v>
      </c>
      <c r="G22" s="7">
        <f t="shared" si="0"/>
        <v>37456877.730000004</v>
      </c>
      <c r="H22" s="7">
        <f t="shared" si="4"/>
        <v>44138314.109999999</v>
      </c>
      <c r="I22" s="36">
        <f t="shared" si="2"/>
        <v>0.54094258637875148</v>
      </c>
      <c r="M22" s="139"/>
      <c r="N22" s="139"/>
      <c r="O22" s="139"/>
      <c r="P22" s="139"/>
      <c r="Q22" s="139"/>
    </row>
    <row r="23" spans="1:18" s="5" customFormat="1" x14ac:dyDescent="0.2">
      <c r="A23" s="6" t="s">
        <v>23</v>
      </c>
      <c r="B23" s="7">
        <v>28852493.619999994</v>
      </c>
      <c r="C23" s="7">
        <v>31415120.829999991</v>
      </c>
      <c r="D23" s="7">
        <v>2721008.9600000018</v>
      </c>
      <c r="E23" s="7">
        <v>15696121.450000001</v>
      </c>
      <c r="F23" s="7">
        <v>1434371.96</v>
      </c>
      <c r="G23" s="7">
        <f t="shared" si="0"/>
        <v>17130493.41</v>
      </c>
      <c r="H23" s="7">
        <f t="shared" si="4"/>
        <v>14284627.419999991</v>
      </c>
      <c r="I23" s="36">
        <f t="shared" si="2"/>
        <v>0.45470547438922565</v>
      </c>
      <c r="M23" s="139"/>
      <c r="N23" s="139"/>
      <c r="O23" s="139"/>
      <c r="P23" s="139"/>
      <c r="Q23" s="139"/>
    </row>
    <row r="24" spans="1:18" s="5" customFormat="1" x14ac:dyDescent="0.25">
      <c r="A24" s="6" t="s">
        <v>24</v>
      </c>
      <c r="B24" s="7">
        <v>1932771.7399999998</v>
      </c>
      <c r="C24" s="7">
        <v>1897063.7399999998</v>
      </c>
      <c r="D24" s="7">
        <v>60079.009999999995</v>
      </c>
      <c r="E24" s="7">
        <v>544705.89</v>
      </c>
      <c r="F24" s="7">
        <v>0</v>
      </c>
      <c r="G24" s="7">
        <f t="shared" si="0"/>
        <v>544705.89</v>
      </c>
      <c r="H24" s="7">
        <f t="shared" si="4"/>
        <v>1352357.8499999996</v>
      </c>
      <c r="I24" s="36">
        <f t="shared" si="2"/>
        <v>0.71286895716007925</v>
      </c>
      <c r="L24" s="1"/>
      <c r="M24" s="138"/>
      <c r="N24" s="138"/>
      <c r="O24" s="138"/>
      <c r="P24" s="138"/>
      <c r="Q24" s="138"/>
    </row>
    <row r="25" spans="1:18" s="5" customFormat="1" x14ac:dyDescent="0.25">
      <c r="A25" s="6" t="s">
        <v>31</v>
      </c>
      <c r="B25" s="7">
        <v>1005000</v>
      </c>
      <c r="C25" s="7">
        <v>1005000</v>
      </c>
      <c r="D25" s="7">
        <v>1672.3999999999996</v>
      </c>
      <c r="E25" s="7">
        <v>88884.799999999945</v>
      </c>
      <c r="F25" s="7">
        <v>0</v>
      </c>
      <c r="G25" s="7">
        <f t="shared" si="0"/>
        <v>88884.799999999945</v>
      </c>
      <c r="H25" s="7">
        <f t="shared" si="4"/>
        <v>916115.20000000007</v>
      </c>
      <c r="I25" s="36">
        <f t="shared" si="2"/>
        <v>0.91155741293532344</v>
      </c>
      <c r="L25" s="1"/>
      <c r="M25" s="138"/>
      <c r="N25" s="138"/>
      <c r="O25" s="138"/>
      <c r="P25" s="138"/>
      <c r="Q25" s="138"/>
    </row>
    <row r="26" spans="1:18" s="5" customFormat="1" x14ac:dyDescent="0.25">
      <c r="A26" s="6" t="s">
        <v>33</v>
      </c>
      <c r="B26" s="7">
        <v>1346246.49</v>
      </c>
      <c r="C26" s="7">
        <v>1281246.49</v>
      </c>
      <c r="D26" s="7">
        <v>0</v>
      </c>
      <c r="E26" s="7">
        <v>2963.75</v>
      </c>
      <c r="F26" s="7">
        <v>0</v>
      </c>
      <c r="G26" s="7">
        <f t="shared" ref="G26" si="5">SUM(E26:F26)</f>
        <v>2963.75</v>
      </c>
      <c r="H26" s="7">
        <f t="shared" ref="H26" si="6">C26-G26</f>
        <v>1278282.74</v>
      </c>
      <c r="I26" s="36">
        <f t="shared" ref="I26" si="7">IF(C26=0,"NA",H26/C26)</f>
        <v>0.99768682293131594</v>
      </c>
      <c r="K26" s="1"/>
      <c r="L26" s="1"/>
      <c r="M26" s="138"/>
      <c r="N26" s="138"/>
      <c r="O26" s="138"/>
      <c r="P26" s="138"/>
      <c r="Q26" s="138"/>
      <c r="R26" s="1"/>
    </row>
    <row r="27" spans="1:18" s="5" customFormat="1" x14ac:dyDescent="0.25">
      <c r="A27" s="6" t="s">
        <v>26</v>
      </c>
      <c r="B27" s="7">
        <v>7837334</v>
      </c>
      <c r="C27" s="7">
        <v>7837334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4"/>
        <v>7837334</v>
      </c>
      <c r="I27" s="36">
        <f t="shared" si="2"/>
        <v>1</v>
      </c>
      <c r="K27" s="1"/>
      <c r="L27" s="1"/>
      <c r="M27" s="138"/>
      <c r="N27" s="138"/>
      <c r="O27" s="138"/>
      <c r="P27" s="138"/>
      <c r="Q27" s="138"/>
      <c r="R27" s="1"/>
    </row>
    <row r="28" spans="1:18" s="5" customFormat="1" x14ac:dyDescent="0.25">
      <c r="A28" s="6" t="s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6" t="str">
        <f t="shared" si="2"/>
        <v>NA</v>
      </c>
      <c r="K28" s="1"/>
      <c r="L28" s="1"/>
      <c r="M28" s="138"/>
      <c r="N28" s="138"/>
      <c r="O28" s="138"/>
      <c r="P28" s="138"/>
      <c r="Q28" s="138"/>
      <c r="R28" s="1"/>
    </row>
    <row r="29" spans="1:18" s="5" customFormat="1" x14ac:dyDescent="0.25">
      <c r="A29" s="10" t="s">
        <v>27</v>
      </c>
      <c r="B29" s="11">
        <f t="shared" ref="B29:H29" si="8">SUM(B13:B28)</f>
        <v>1326477446.8999996</v>
      </c>
      <c r="C29" s="11">
        <f t="shared" si="8"/>
        <v>1325425689.22</v>
      </c>
      <c r="D29" s="11">
        <f t="shared" si="8"/>
        <v>106249986.20000137</v>
      </c>
      <c r="E29" s="11">
        <f t="shared" si="8"/>
        <v>630385734.8800019</v>
      </c>
      <c r="F29" s="11">
        <f t="shared" si="8"/>
        <v>35641708.969999991</v>
      </c>
      <c r="G29" s="11">
        <f t="shared" si="8"/>
        <v>666027443.85000181</v>
      </c>
      <c r="H29" s="11">
        <f t="shared" si="8"/>
        <v>659398245.36999822</v>
      </c>
      <c r="I29" s="37">
        <f>IF(C29=0,"NA",H29/C29)</f>
        <v>0.49749921910601236</v>
      </c>
      <c r="K29" s="1"/>
      <c r="L29" s="1"/>
      <c r="M29" s="138"/>
      <c r="N29" s="138"/>
      <c r="O29" s="138"/>
      <c r="P29" s="138"/>
      <c r="Q29" s="138"/>
      <c r="R29" s="1"/>
    </row>
    <row r="30" spans="1:18" s="5" customFormat="1" x14ac:dyDescent="0.25">
      <c r="A30" s="13"/>
      <c r="B30" s="14"/>
      <c r="C30" s="14"/>
      <c r="D30" s="14"/>
      <c r="E30" s="14"/>
      <c r="F30" s="14"/>
      <c r="G30" s="14"/>
      <c r="H30" s="14"/>
      <c r="I30" s="16"/>
      <c r="K30" s="1"/>
      <c r="L30" s="1"/>
      <c r="M30" s="138"/>
      <c r="N30" s="138"/>
      <c r="O30" s="138"/>
      <c r="P30" s="138"/>
      <c r="Q30" s="138"/>
      <c r="R30" s="1"/>
    </row>
    <row r="31" spans="1:18" s="5" customFormat="1" ht="24.95" customHeight="1" x14ac:dyDescent="0.25">
      <c r="A31" s="6" t="s">
        <v>28</v>
      </c>
      <c r="B31" s="7">
        <f>B12-B29</f>
        <v>-21794783.899999619</v>
      </c>
      <c r="C31" s="7">
        <f>C12-C29</f>
        <v>-19781739.120000124</v>
      </c>
      <c r="D31" s="7">
        <f>D12-D29</f>
        <v>-40523252.090001367</v>
      </c>
      <c r="E31" s="7">
        <f>E12-E29</f>
        <v>380171649.40999806</v>
      </c>
      <c r="F31" s="7"/>
      <c r="G31" s="7">
        <f>G12-G29</f>
        <v>344529940.43999815</v>
      </c>
      <c r="H31" s="7"/>
      <c r="I31" s="17"/>
      <c r="K31" s="1"/>
      <c r="L31" s="1"/>
      <c r="M31" s="138"/>
      <c r="N31" s="138"/>
      <c r="O31" s="138"/>
      <c r="P31" s="138"/>
      <c r="Q31" s="138"/>
      <c r="R31" s="1"/>
    </row>
    <row r="32" spans="1:18" s="5" customFormat="1" x14ac:dyDescent="0.25">
      <c r="A32" s="8"/>
      <c r="B32" s="9"/>
      <c r="C32" s="9"/>
      <c r="D32" s="9"/>
      <c r="E32" s="9"/>
      <c r="F32" s="9"/>
      <c r="G32" s="9"/>
      <c r="H32" s="9"/>
      <c r="I32" s="18"/>
      <c r="K32" s="1"/>
      <c r="L32" s="1"/>
      <c r="M32" s="138"/>
      <c r="N32" s="138"/>
      <c r="O32" s="138"/>
      <c r="P32" s="138"/>
      <c r="Q32" s="138"/>
      <c r="R32" s="1"/>
    </row>
    <row r="33" spans="1:21" s="5" customFormat="1" x14ac:dyDescent="0.25">
      <c r="A33" s="147" t="s">
        <v>78</v>
      </c>
      <c r="B33" s="21"/>
      <c r="C33" s="21"/>
      <c r="D33" s="21"/>
      <c r="E33" s="21">
        <v>265464594.49999699</v>
      </c>
      <c r="F33" s="21"/>
      <c r="G33" s="21">
        <f>E33</f>
        <v>265464594.49999699</v>
      </c>
      <c r="H33" s="21"/>
      <c r="I33" s="22"/>
      <c r="K33" s="1"/>
      <c r="L33" s="1"/>
      <c r="M33" s="138"/>
      <c r="N33" s="138"/>
      <c r="O33" s="138"/>
      <c r="P33" s="138"/>
      <c r="Q33" s="138"/>
      <c r="R33" s="1"/>
      <c r="S33" s="1"/>
      <c r="T33" s="1"/>
      <c r="U33" s="1"/>
    </row>
    <row r="34" spans="1:21" s="5" customFormat="1" x14ac:dyDescent="0.25">
      <c r="A34" s="147" t="s">
        <v>79</v>
      </c>
      <c r="B34" s="21"/>
      <c r="C34" s="21"/>
      <c r="D34" s="21"/>
      <c r="E34" s="21">
        <v>45000000</v>
      </c>
      <c r="F34" s="21"/>
      <c r="G34" s="21">
        <f>E34</f>
        <v>45000000</v>
      </c>
      <c r="H34" s="21"/>
      <c r="I34" s="22"/>
      <c r="K34" s="1"/>
      <c r="L34" s="1"/>
      <c r="M34" s="138"/>
      <c r="N34" s="138"/>
      <c r="O34" s="138"/>
      <c r="P34" s="138"/>
      <c r="Q34" s="138"/>
      <c r="R34" s="1"/>
      <c r="S34" s="1"/>
      <c r="T34" s="1"/>
      <c r="U34" s="1"/>
    </row>
    <row r="35" spans="1:21" s="5" customFormat="1" ht="24.75" customHeight="1" x14ac:dyDescent="0.25">
      <c r="A35" s="19" t="s">
        <v>80</v>
      </c>
      <c r="B35" s="21"/>
      <c r="C35" s="21"/>
      <c r="D35" s="21"/>
      <c r="E35" s="21">
        <f>E33-E34</f>
        <v>220464594.49999699</v>
      </c>
      <c r="F35" s="21"/>
      <c r="G35" s="21">
        <f>E35</f>
        <v>220464594.49999699</v>
      </c>
      <c r="H35" s="21"/>
      <c r="I35" s="22"/>
      <c r="K35" s="1"/>
      <c r="L35" s="1"/>
      <c r="M35" s="138"/>
      <c r="N35" s="138"/>
      <c r="O35" s="138"/>
      <c r="P35" s="138"/>
      <c r="Q35" s="138"/>
      <c r="R35" s="1"/>
      <c r="S35" s="1"/>
      <c r="T35" s="1"/>
      <c r="U35" s="1"/>
    </row>
    <row r="36" spans="1:21" s="5" customFormat="1" ht="27.75" customHeight="1" thickBot="1" x14ac:dyDescent="0.3">
      <c r="A36" s="23" t="s">
        <v>29</v>
      </c>
      <c r="B36" s="25"/>
      <c r="C36" s="25"/>
      <c r="D36" s="25"/>
      <c r="E36" s="25">
        <f>+E35+E31</f>
        <v>600636243.90999508</v>
      </c>
      <c r="F36" s="25"/>
      <c r="G36" s="25">
        <f>+G35+G31</f>
        <v>564994534.93999517</v>
      </c>
      <c r="H36" s="25"/>
      <c r="I36" s="26"/>
      <c r="K36" s="1"/>
      <c r="L36" s="1"/>
      <c r="M36" s="138"/>
      <c r="N36" s="138"/>
      <c r="O36" s="138"/>
      <c r="P36" s="138"/>
      <c r="Q36" s="138"/>
      <c r="R36" s="1"/>
      <c r="S36" s="1"/>
      <c r="T36" s="1"/>
      <c r="U36" s="1"/>
    </row>
    <row r="37" spans="1:21" x14ac:dyDescent="0.25">
      <c r="A37" s="5"/>
      <c r="B37" s="34"/>
      <c r="C37" s="34"/>
      <c r="D37" s="34"/>
      <c r="E37" s="34"/>
      <c r="F37" s="34"/>
      <c r="G37" s="34"/>
      <c r="H37" s="34"/>
      <c r="I37" s="5"/>
      <c r="J37" s="5"/>
      <c r="M37" s="1"/>
      <c r="N37" s="1"/>
      <c r="O37" s="1"/>
      <c r="P37" s="1"/>
      <c r="Q37" s="1"/>
    </row>
    <row r="38" spans="1:21" x14ac:dyDescent="0.25">
      <c r="M38" s="1"/>
      <c r="N38" s="1"/>
      <c r="O38" s="1"/>
      <c r="P38" s="1"/>
      <c r="Q38" s="1"/>
    </row>
    <row r="39" spans="1:21" x14ac:dyDescent="0.25">
      <c r="B39" s="1"/>
      <c r="C39" s="1"/>
      <c r="D39" s="1"/>
      <c r="E39" s="1"/>
      <c r="F39" s="1"/>
      <c r="G39" s="1"/>
      <c r="H39" s="1"/>
      <c r="M39" s="1"/>
      <c r="N39" s="1"/>
      <c r="O39" s="1"/>
      <c r="P39" s="1"/>
      <c r="Q39" s="1"/>
    </row>
    <row r="40" spans="1:21" x14ac:dyDescent="0.25">
      <c r="B40" s="1"/>
      <c r="C40" s="1"/>
      <c r="D40" s="1"/>
      <c r="E40" s="1"/>
      <c r="F40" s="1"/>
      <c r="G40" s="1"/>
      <c r="H40" s="1"/>
      <c r="M40" s="1"/>
      <c r="N40" s="1"/>
      <c r="O40" s="1"/>
      <c r="P40" s="1"/>
      <c r="Q40" s="1"/>
    </row>
    <row r="41" spans="1:21" x14ac:dyDescent="0.25">
      <c r="B41" s="1"/>
      <c r="C41" s="1"/>
      <c r="D41" s="1"/>
      <c r="E41" s="1"/>
      <c r="F41" s="1"/>
      <c r="G41" s="1"/>
      <c r="H41" s="1"/>
      <c r="M41" s="1"/>
      <c r="N41" s="1"/>
      <c r="O41" s="1"/>
      <c r="P41" s="1"/>
      <c r="Q41" s="1"/>
    </row>
    <row r="42" spans="1:21" x14ac:dyDescent="0.25">
      <c r="B42" s="1"/>
      <c r="C42" s="1"/>
      <c r="D42" s="1"/>
      <c r="E42" s="1"/>
      <c r="F42" s="1"/>
      <c r="G42" s="1"/>
      <c r="H42" s="1"/>
      <c r="M42" s="1"/>
      <c r="N42" s="1"/>
      <c r="O42" s="1"/>
      <c r="P42" s="1"/>
      <c r="Q42" s="1"/>
    </row>
    <row r="43" spans="1:21" x14ac:dyDescent="0.25">
      <c r="B43" s="1"/>
      <c r="C43" s="1"/>
      <c r="D43" s="1"/>
      <c r="E43" s="1"/>
      <c r="F43" s="1"/>
      <c r="G43" s="1"/>
      <c r="H43" s="1"/>
      <c r="M43" s="1"/>
      <c r="N43" s="1"/>
      <c r="O43" s="1"/>
      <c r="P43" s="1"/>
      <c r="Q43" s="1"/>
    </row>
    <row r="44" spans="1:21" x14ac:dyDescent="0.25">
      <c r="B44" s="138"/>
      <c r="C44" s="138"/>
      <c r="D44" s="1"/>
      <c r="E44" s="1"/>
      <c r="F44" s="1"/>
      <c r="G44" s="1"/>
      <c r="H44" s="1"/>
      <c r="M44" s="1"/>
      <c r="N44" s="1"/>
      <c r="O44" s="1"/>
      <c r="P44" s="1"/>
      <c r="Q44" s="1"/>
    </row>
    <row r="45" spans="1:21" x14ac:dyDescent="0.25">
      <c r="D45" s="1"/>
      <c r="E45" s="1"/>
      <c r="F45" s="1"/>
      <c r="G45" s="1"/>
      <c r="H45" s="1"/>
      <c r="M45" s="1"/>
      <c r="N45" s="1"/>
      <c r="O45" s="1"/>
      <c r="P45" s="1"/>
      <c r="Q45" s="1"/>
    </row>
    <row r="46" spans="1:21" x14ac:dyDescent="0.25">
      <c r="D46" s="1"/>
      <c r="E46" s="1"/>
      <c r="F46" s="1"/>
      <c r="G46" s="1"/>
      <c r="H46" s="1"/>
      <c r="M46" s="1"/>
      <c r="N46" s="1"/>
      <c r="O46" s="1"/>
      <c r="P46" s="1"/>
      <c r="Q46" s="1"/>
    </row>
    <row r="47" spans="1:21" x14ac:dyDescent="0.25">
      <c r="D47" s="1"/>
      <c r="E47" s="1"/>
      <c r="F47" s="1"/>
      <c r="G47" s="1"/>
      <c r="H47" s="1"/>
      <c r="M47" s="1"/>
      <c r="N47" s="1"/>
      <c r="O47" s="1"/>
      <c r="P47" s="1"/>
      <c r="Q47" s="1"/>
    </row>
    <row r="48" spans="1:21" x14ac:dyDescent="0.25">
      <c r="D48" s="1"/>
      <c r="E48" s="1"/>
      <c r="F48" s="1"/>
      <c r="G48" s="1"/>
      <c r="H48" s="1"/>
      <c r="M48" s="1"/>
      <c r="N48" s="1"/>
      <c r="O48" s="1"/>
      <c r="P48" s="1"/>
      <c r="Q48" s="1"/>
    </row>
    <row r="49" spans="2:17" x14ac:dyDescent="0.25">
      <c r="D49" s="1"/>
      <c r="E49" s="1"/>
      <c r="F49" s="1"/>
      <c r="G49" s="1"/>
      <c r="H49" s="1"/>
      <c r="M49" s="1"/>
      <c r="N49" s="1"/>
      <c r="O49" s="1"/>
      <c r="P49" s="1"/>
      <c r="Q49" s="1"/>
    </row>
    <row r="50" spans="2:17" x14ac:dyDescent="0.25">
      <c r="B50" s="138"/>
      <c r="C50" s="138"/>
      <c r="D50" s="1"/>
      <c r="E50" s="1"/>
      <c r="F50" s="1"/>
      <c r="G50" s="1"/>
      <c r="H50" s="1"/>
      <c r="M50" s="1"/>
      <c r="N50" s="1"/>
      <c r="O50" s="1"/>
      <c r="P50" s="1"/>
      <c r="Q50" s="1"/>
    </row>
    <row r="51" spans="2:17" x14ac:dyDescent="0.25">
      <c r="B51" s="138"/>
      <c r="C51" s="138"/>
      <c r="D51" s="1"/>
      <c r="E51" s="1"/>
      <c r="F51" s="1"/>
      <c r="G51" s="1"/>
      <c r="H51" s="1"/>
      <c r="M51" s="1"/>
      <c r="N51" s="1"/>
      <c r="O51" s="1"/>
      <c r="P51" s="1"/>
      <c r="Q51" s="1"/>
    </row>
    <row r="52" spans="2:17" x14ac:dyDescent="0.25">
      <c r="B52" s="138"/>
      <c r="C52" s="138"/>
      <c r="D52" s="1"/>
      <c r="E52" s="1"/>
      <c r="F52" s="1"/>
      <c r="G52" s="1"/>
      <c r="H52" s="1"/>
      <c r="M52" s="1"/>
      <c r="N52" s="1"/>
      <c r="O52" s="1"/>
      <c r="P52" s="1"/>
      <c r="Q52" s="1"/>
    </row>
    <row r="53" spans="2:17" x14ac:dyDescent="0.25">
      <c r="B53" s="138"/>
      <c r="C53" s="138"/>
      <c r="D53" s="1"/>
      <c r="E53" s="1"/>
      <c r="F53" s="1"/>
      <c r="G53" s="1"/>
      <c r="H53" s="1"/>
      <c r="M53" s="1"/>
      <c r="N53" s="1"/>
      <c r="O53" s="1"/>
      <c r="P53" s="1"/>
      <c r="Q53" s="1"/>
    </row>
    <row r="54" spans="2:17" x14ac:dyDescent="0.25">
      <c r="B54" s="138"/>
      <c r="C54" s="138"/>
      <c r="D54" s="1"/>
      <c r="E54" s="1"/>
      <c r="F54" s="1"/>
      <c r="G54" s="1"/>
      <c r="H54" s="1"/>
      <c r="M54" s="1"/>
      <c r="N54" s="1"/>
      <c r="O54" s="1"/>
      <c r="P54" s="1"/>
      <c r="Q54" s="1"/>
    </row>
    <row r="55" spans="2:17" x14ac:dyDescent="0.25">
      <c r="B55" s="138"/>
      <c r="C55" s="138"/>
      <c r="D55" s="1"/>
      <c r="E55" s="1"/>
      <c r="F55" s="1"/>
      <c r="G55" s="1"/>
      <c r="H55" s="1"/>
      <c r="M55" s="1"/>
      <c r="N55" s="1"/>
      <c r="O55" s="1"/>
      <c r="P55" s="1"/>
      <c r="Q55" s="1"/>
    </row>
    <row r="56" spans="2:17" x14ac:dyDescent="0.25">
      <c r="B56" s="138"/>
      <c r="C56" s="138"/>
      <c r="D56" s="1"/>
      <c r="E56" s="1"/>
      <c r="F56" s="1"/>
      <c r="G56" s="1"/>
      <c r="H56" s="1"/>
      <c r="M56" s="1"/>
      <c r="N56" s="1"/>
      <c r="O56" s="1"/>
      <c r="P56" s="1"/>
      <c r="Q56" s="1"/>
    </row>
    <row r="57" spans="2:17" x14ac:dyDescent="0.25">
      <c r="B57" s="138"/>
      <c r="C57" s="138"/>
      <c r="D57" s="138"/>
      <c r="E57" s="138"/>
      <c r="F57" s="1"/>
      <c r="G57" s="1"/>
      <c r="H57" s="1"/>
      <c r="M57" s="1"/>
      <c r="N57" s="1"/>
      <c r="O57" s="1"/>
      <c r="P57" s="1"/>
      <c r="Q57" s="1"/>
    </row>
    <row r="58" spans="2:17" x14ac:dyDescent="0.25">
      <c r="B58" s="138"/>
      <c r="C58" s="138"/>
      <c r="D58" s="138"/>
      <c r="E58" s="138"/>
      <c r="F58" s="1"/>
      <c r="G58" s="1"/>
      <c r="H58" s="1"/>
      <c r="M58" s="1"/>
      <c r="N58" s="1"/>
      <c r="O58" s="1"/>
      <c r="P58" s="1"/>
      <c r="Q58" s="1"/>
    </row>
    <row r="59" spans="2:17" x14ac:dyDescent="0.25">
      <c r="B59" s="138"/>
      <c r="C59" s="138"/>
      <c r="D59" s="138"/>
      <c r="E59" s="138"/>
      <c r="F59" s="1"/>
      <c r="G59" s="1"/>
      <c r="H59" s="1"/>
      <c r="M59" s="1"/>
      <c r="N59" s="1"/>
      <c r="O59" s="1"/>
      <c r="P59" s="1"/>
      <c r="Q59" s="1"/>
    </row>
    <row r="60" spans="2:17" x14ac:dyDescent="0.25">
      <c r="B60" s="138"/>
      <c r="C60" s="138"/>
      <c r="D60" s="138"/>
      <c r="E60" s="138"/>
      <c r="F60" s="1"/>
      <c r="G60" s="1"/>
      <c r="H60" s="138"/>
      <c r="I60" s="138"/>
      <c r="J60" s="138"/>
      <c r="K60" s="138"/>
      <c r="M60" s="1"/>
      <c r="N60" s="1"/>
      <c r="O60" s="1"/>
      <c r="P60" s="1"/>
      <c r="Q60" s="1"/>
    </row>
    <row r="61" spans="2:17" x14ac:dyDescent="0.25">
      <c r="B61" s="138"/>
      <c r="C61" s="138"/>
      <c r="D61" s="138"/>
      <c r="E61" s="138"/>
      <c r="F61" s="138"/>
      <c r="G61" s="138"/>
      <c r="H61" s="1"/>
      <c r="I61" s="138"/>
      <c r="J61" s="138"/>
      <c r="K61" s="138"/>
      <c r="L61" s="138"/>
      <c r="N61" s="1"/>
      <c r="O61" s="1"/>
      <c r="P61" s="1"/>
      <c r="Q61" s="1"/>
    </row>
    <row r="62" spans="2:17" x14ac:dyDescent="0.25">
      <c r="B62" s="138"/>
      <c r="C62" s="138"/>
      <c r="D62" s="138"/>
      <c r="E62" s="138"/>
      <c r="F62" s="138"/>
      <c r="G62" s="138"/>
      <c r="H62" s="1"/>
      <c r="K62" s="138"/>
      <c r="L62" s="138"/>
      <c r="P62" s="1"/>
      <c r="Q62" s="1"/>
    </row>
    <row r="63" spans="2:17" x14ac:dyDescent="0.25"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P63" s="1"/>
      <c r="Q63" s="1"/>
    </row>
    <row r="64" spans="2:17" x14ac:dyDescent="0.25">
      <c r="B64" s="138"/>
      <c r="C64" s="138"/>
      <c r="D64" s="138"/>
      <c r="E64" s="138"/>
      <c r="F64" s="138"/>
      <c r="G64" s="138"/>
      <c r="H64" s="138"/>
      <c r="I64" s="138"/>
      <c r="J64" s="138"/>
    </row>
    <row r="65" spans="2:10" x14ac:dyDescent="0.25">
      <c r="B65" s="138"/>
      <c r="C65" s="138"/>
      <c r="D65" s="138"/>
      <c r="E65" s="138"/>
      <c r="F65" s="138"/>
      <c r="G65" s="138"/>
      <c r="H65" s="138"/>
      <c r="I65" s="138"/>
      <c r="J65" s="138"/>
    </row>
    <row r="66" spans="2:10" x14ac:dyDescent="0.25">
      <c r="B66" s="138"/>
      <c r="C66" s="138"/>
      <c r="D66" s="138"/>
      <c r="E66" s="138"/>
      <c r="F66" s="138"/>
      <c r="G66" s="138"/>
      <c r="H66" s="138"/>
      <c r="I66" s="138"/>
      <c r="J66" s="138"/>
    </row>
    <row r="67" spans="2:10" x14ac:dyDescent="0.25">
      <c r="B67" s="138"/>
      <c r="C67" s="138"/>
      <c r="D67" s="138"/>
      <c r="E67" s="138"/>
      <c r="F67" s="138"/>
      <c r="G67" s="138"/>
      <c r="H67" s="138"/>
      <c r="I67" s="138"/>
      <c r="J67" s="138"/>
    </row>
    <row r="68" spans="2:10" x14ac:dyDescent="0.25">
      <c r="B68" s="138"/>
      <c r="C68" s="138"/>
      <c r="D68" s="138"/>
      <c r="E68" s="138"/>
      <c r="F68" s="138"/>
      <c r="G68" s="138"/>
      <c r="H68" s="138"/>
      <c r="I68" s="138"/>
      <c r="J68" s="138"/>
    </row>
    <row r="69" spans="2:10" x14ac:dyDescent="0.25">
      <c r="B69" s="138"/>
      <c r="C69" s="138"/>
      <c r="D69" s="138"/>
      <c r="E69" s="138"/>
      <c r="F69" s="138"/>
      <c r="G69" s="138"/>
      <c r="H69" s="138"/>
      <c r="I69" s="138"/>
      <c r="J69" s="138"/>
    </row>
    <row r="70" spans="2:10" x14ac:dyDescent="0.25">
      <c r="B70" s="138"/>
      <c r="C70" s="138"/>
      <c r="D70" s="138"/>
      <c r="E70" s="138"/>
      <c r="F70" s="138"/>
      <c r="G70" s="138"/>
      <c r="H70" s="138"/>
      <c r="I70" s="138"/>
      <c r="J70" s="138"/>
    </row>
    <row r="71" spans="2:10" x14ac:dyDescent="0.25">
      <c r="B71" s="138"/>
      <c r="C71" s="138"/>
      <c r="D71" s="138"/>
      <c r="E71" s="138"/>
      <c r="F71" s="138"/>
      <c r="G71" s="138"/>
      <c r="H71" s="138"/>
      <c r="I71" s="138"/>
      <c r="J71" s="138"/>
    </row>
    <row r="72" spans="2:10" x14ac:dyDescent="0.25">
      <c r="B72" s="138"/>
      <c r="C72" s="138"/>
      <c r="D72" s="138"/>
      <c r="E72" s="138"/>
      <c r="F72" s="138"/>
      <c r="G72" s="138"/>
      <c r="H72" s="138"/>
      <c r="I72" s="138"/>
      <c r="J72" s="138"/>
    </row>
    <row r="73" spans="2:10" x14ac:dyDescent="0.25">
      <c r="B73" s="138"/>
      <c r="C73" s="138"/>
      <c r="D73" s="138"/>
      <c r="E73" s="138"/>
      <c r="F73" s="138"/>
      <c r="G73" s="138"/>
      <c r="H73" s="138"/>
      <c r="I73" s="138"/>
      <c r="J73" s="138"/>
    </row>
    <row r="74" spans="2:10" x14ac:dyDescent="0.25">
      <c r="B74" s="138"/>
      <c r="C74" s="138"/>
      <c r="D74" s="138"/>
      <c r="E74" s="138"/>
      <c r="F74" s="138"/>
      <c r="G74" s="138"/>
      <c r="H74" s="138"/>
      <c r="I74" s="138"/>
      <c r="J74" s="138"/>
    </row>
    <row r="75" spans="2:10" x14ac:dyDescent="0.25">
      <c r="B75" s="138"/>
      <c r="C75" s="138"/>
      <c r="D75" s="138"/>
      <c r="E75" s="138"/>
      <c r="F75" s="138"/>
      <c r="G75" s="138"/>
      <c r="H75" s="138"/>
      <c r="I75" s="138"/>
      <c r="J75" s="138"/>
    </row>
    <row r="76" spans="2:10" x14ac:dyDescent="0.25">
      <c r="B76" s="138"/>
      <c r="C76" s="138"/>
      <c r="D76" s="138"/>
      <c r="E76" s="138"/>
      <c r="F76" s="138"/>
      <c r="G76" s="138"/>
      <c r="H76" s="138"/>
      <c r="I76" s="138"/>
      <c r="J76" s="138"/>
    </row>
    <row r="77" spans="2:10" x14ac:dyDescent="0.25">
      <c r="B77" s="138"/>
      <c r="C77" s="138"/>
      <c r="D77" s="138"/>
      <c r="E77" s="138"/>
      <c r="F77" s="138"/>
      <c r="G77" s="138"/>
      <c r="H77" s="138"/>
      <c r="I77" s="138"/>
      <c r="J77" s="138"/>
    </row>
    <row r="78" spans="2:10" x14ac:dyDescent="0.25">
      <c r="B78" s="138"/>
      <c r="C78" s="138"/>
      <c r="D78" s="138"/>
      <c r="E78" s="138"/>
      <c r="F78" s="138"/>
      <c r="G78" s="138"/>
      <c r="H78" s="138"/>
      <c r="I78" s="138"/>
      <c r="J78" s="138"/>
    </row>
    <row r="79" spans="2:10" x14ac:dyDescent="0.25">
      <c r="B79" s="138"/>
      <c r="C79" s="138"/>
      <c r="D79" s="138"/>
      <c r="E79" s="138"/>
      <c r="F79" s="138"/>
      <c r="G79" s="138"/>
      <c r="H79" s="138"/>
      <c r="I79" s="138"/>
      <c r="J79" s="138"/>
    </row>
    <row r="80" spans="2:10" x14ac:dyDescent="0.25">
      <c r="B80" s="138"/>
      <c r="C80" s="138"/>
      <c r="D80" s="138"/>
      <c r="E80" s="138"/>
      <c r="F80" s="138"/>
      <c r="G80" s="138"/>
      <c r="H80" s="138"/>
      <c r="I80" s="138"/>
      <c r="J80" s="138"/>
    </row>
    <row r="81" spans="2:10" x14ac:dyDescent="0.25">
      <c r="B81" s="138"/>
      <c r="C81" s="138"/>
      <c r="D81" s="138"/>
      <c r="E81" s="138"/>
      <c r="F81" s="138"/>
      <c r="G81" s="138"/>
      <c r="H81" s="138"/>
      <c r="I81" s="138"/>
      <c r="J81" s="138"/>
    </row>
    <row r="82" spans="2:10" x14ac:dyDescent="0.25">
      <c r="B82" s="138"/>
      <c r="C82" s="138"/>
      <c r="D82" s="138"/>
      <c r="E82" s="138"/>
      <c r="F82" s="138"/>
      <c r="G82" s="138"/>
      <c r="H82" s="138"/>
      <c r="I82" s="138"/>
      <c r="J82" s="138"/>
    </row>
    <row r="83" spans="2:10" x14ac:dyDescent="0.25">
      <c r="B83" s="138"/>
      <c r="C83" s="138"/>
      <c r="D83" s="138"/>
      <c r="E83" s="138"/>
      <c r="F83" s="138"/>
      <c r="G83" s="138"/>
      <c r="H83" s="138"/>
      <c r="I83" s="138"/>
      <c r="J83" s="138"/>
    </row>
    <row r="84" spans="2:10" x14ac:dyDescent="0.25">
      <c r="B84" s="138"/>
      <c r="C84" s="138"/>
      <c r="D84" s="138"/>
      <c r="E84" s="138"/>
      <c r="F84" s="138"/>
      <c r="G84" s="138"/>
      <c r="H84" s="138"/>
      <c r="I84" s="138"/>
      <c r="J84" s="138"/>
    </row>
    <row r="85" spans="2:10" x14ac:dyDescent="0.25">
      <c r="B85" s="138"/>
    </row>
    <row r="86" spans="2:10" x14ac:dyDescent="0.25">
      <c r="B86" s="138"/>
    </row>
    <row r="87" spans="2:10" x14ac:dyDescent="0.25">
      <c r="B87" s="138"/>
    </row>
    <row r="88" spans="2:10" x14ac:dyDescent="0.25">
      <c r="B88" s="138"/>
    </row>
    <row r="89" spans="2:10" x14ac:dyDescent="0.25">
      <c r="B89" s="13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G49" workbookViewId="0">
      <selection activeCell="R55" sqref="R55"/>
    </sheetView>
  </sheetViews>
  <sheetFormatPr defaultRowHeight="12.75" x14ac:dyDescent="0.2"/>
  <cols>
    <col min="1" max="1" width="32.42578125" style="52" bestFit="1" customWidth="1"/>
    <col min="2" max="2" width="15.7109375" style="52" customWidth="1"/>
    <col min="3" max="3" width="18.7109375" style="52" customWidth="1"/>
    <col min="4" max="4" width="45.5703125" style="52" bestFit="1" customWidth="1"/>
    <col min="5" max="5" width="16.140625" style="52" customWidth="1"/>
    <col min="6" max="6" width="12.5703125" style="51" customWidth="1"/>
    <col min="7" max="7" width="13.42578125" style="51" bestFit="1" customWidth="1"/>
    <col min="8" max="8" width="14.42578125" style="51" bestFit="1" customWidth="1"/>
    <col min="9" max="9" width="16" style="51" bestFit="1" customWidth="1"/>
    <col min="10" max="10" width="11.7109375" style="51" bestFit="1" customWidth="1"/>
    <col min="11" max="16" width="13.42578125" style="51" bestFit="1" customWidth="1"/>
    <col min="17" max="17" width="12.5703125" style="51" customWidth="1"/>
    <col min="18" max="18" width="69.140625" style="52" customWidth="1"/>
    <col min="19" max="20" width="17" style="100" customWidth="1"/>
    <col min="21" max="21" width="17" style="100" bestFit="1" customWidth="1"/>
    <col min="22" max="16384" width="9.140625" style="52"/>
  </cols>
  <sheetData>
    <row r="1" spans="1:21" ht="21" thickBot="1" x14ac:dyDescent="0.25">
      <c r="A1" s="156" t="s">
        <v>77</v>
      </c>
      <c r="B1" s="157"/>
      <c r="C1" s="157"/>
      <c r="D1" s="157"/>
      <c r="E1" s="157"/>
      <c r="F1" s="157"/>
      <c r="G1" s="158"/>
      <c r="H1" s="50"/>
    </row>
    <row r="2" spans="1:21" x14ac:dyDescent="0.2">
      <c r="A2" s="53"/>
      <c r="B2" s="50"/>
      <c r="C2" s="53"/>
      <c r="D2" s="53"/>
      <c r="E2" s="53"/>
      <c r="F2" s="50"/>
      <c r="G2" s="50"/>
    </row>
    <row r="3" spans="1:21" x14ac:dyDescent="0.2">
      <c r="A3" s="159" t="s">
        <v>40</v>
      </c>
      <c r="B3" s="160"/>
      <c r="C3" s="160"/>
      <c r="D3" s="160"/>
      <c r="E3" s="160"/>
      <c r="F3" s="160"/>
      <c r="G3" s="160"/>
    </row>
    <row r="4" spans="1:21" ht="13.5" thickBot="1" x14ac:dyDescent="0.25">
      <c r="A4" s="53"/>
      <c r="B4" s="50"/>
      <c r="C4" s="53"/>
      <c r="D4" s="53"/>
      <c r="E4" s="53"/>
      <c r="F4" s="50"/>
      <c r="G4" s="50"/>
    </row>
    <row r="5" spans="1:21" ht="26.25" thickBot="1" x14ac:dyDescent="0.25">
      <c r="B5" s="54" t="s">
        <v>41</v>
      </c>
      <c r="C5" s="55" t="s">
        <v>42</v>
      </c>
      <c r="D5" s="53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21" ht="13.5" thickBot="1" x14ac:dyDescent="0.25">
      <c r="A6" s="56" t="s">
        <v>43</v>
      </c>
      <c r="B6" s="57">
        <v>1325425689.22</v>
      </c>
      <c r="C6" s="58">
        <f>SUM(F25:Q25)</f>
        <v>630385734.88000154</v>
      </c>
      <c r="D6" s="53"/>
      <c r="E6" s="53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21" ht="26.25" thickBot="1" x14ac:dyDescent="0.25">
      <c r="B7" s="50"/>
      <c r="C7" s="59"/>
      <c r="D7" s="60"/>
      <c r="E7" s="61" t="s">
        <v>44</v>
      </c>
      <c r="F7" s="62" t="s">
        <v>45</v>
      </c>
      <c r="G7" s="63" t="s">
        <v>46</v>
      </c>
      <c r="H7" s="63" t="s">
        <v>47</v>
      </c>
      <c r="I7" s="63" t="s">
        <v>48</v>
      </c>
      <c r="J7" s="63" t="s">
        <v>49</v>
      </c>
      <c r="K7" s="63" t="s">
        <v>50</v>
      </c>
      <c r="L7" s="63" t="s">
        <v>51</v>
      </c>
      <c r="M7" s="63" t="s">
        <v>52</v>
      </c>
      <c r="N7" s="63" t="s">
        <v>53</v>
      </c>
      <c r="O7" s="63" t="s">
        <v>54</v>
      </c>
      <c r="P7" s="63" t="s">
        <v>55</v>
      </c>
      <c r="Q7" s="64" t="s">
        <v>56</v>
      </c>
    </row>
    <row r="8" spans="1:21" x14ac:dyDescent="0.2">
      <c r="B8" s="51"/>
      <c r="D8" s="53"/>
      <c r="E8" s="65"/>
      <c r="P8" s="52"/>
      <c r="Q8" s="52"/>
    </row>
    <row r="9" spans="1:21" x14ac:dyDescent="0.2">
      <c r="B9" s="51"/>
      <c r="D9" s="53" t="s">
        <v>13</v>
      </c>
      <c r="E9" s="66">
        <f>SUM(F9:Q9)</f>
        <v>381233480.96000201</v>
      </c>
      <c r="F9" s="51">
        <f>9808420.78-801492.680000011</f>
        <v>9006928.0999999885</v>
      </c>
      <c r="G9" s="51">
        <f>12409518.8299999-402448.789999992</f>
        <v>12007070.039999908</v>
      </c>
      <c r="H9" s="51">
        <f>70514974.5300016+22512.8699983358</f>
        <v>70537487.399999931</v>
      </c>
      <c r="I9" s="51">
        <f>71835021.2100015+31672.38</f>
        <v>71866693.590001494</v>
      </c>
      <c r="J9" s="51">
        <f>68948166.4000016 + 5566429.94999957</f>
        <v>74514596.350001171</v>
      </c>
      <c r="K9" s="51">
        <f>72382507.6800014-14170.4900033473</f>
        <v>72368337.189998046</v>
      </c>
      <c r="L9" s="51">
        <v>70932368.290001512</v>
      </c>
      <c r="P9" s="52"/>
      <c r="Q9" s="52"/>
      <c r="R9" s="52" t="s">
        <v>13</v>
      </c>
      <c r="S9" s="100">
        <v>381233480.96000201</v>
      </c>
      <c r="T9" s="100">
        <f>S9-E9</f>
        <v>0</v>
      </c>
      <c r="U9" s="100">
        <v>-14170.4900033473</v>
      </c>
    </row>
    <row r="10" spans="1:21" x14ac:dyDescent="0.2">
      <c r="B10" s="51"/>
      <c r="D10" s="53" t="s">
        <v>14</v>
      </c>
      <c r="E10" s="66">
        <f t="shared" ref="E10:E24" si="0">SUM(F10:Q10)</f>
        <v>35912183.929999962</v>
      </c>
      <c r="F10" s="51">
        <f>744217.770000002+10105.1699999985</f>
        <v>754322.94000000053</v>
      </c>
      <c r="G10" s="51">
        <f>1863052.67999999+6695.29000000283</f>
        <v>1869747.9699999928</v>
      </c>
      <c r="H10" s="51">
        <f>6535361.87999997+9897.4400000181</f>
        <v>6545259.3199999882</v>
      </c>
      <c r="I10" s="51">
        <v>6551632.0899999309</v>
      </c>
      <c r="J10" s="51">
        <f>6704104.91999993 + 9821.08000003173</f>
        <v>6713925.9999999618</v>
      </c>
      <c r="K10" s="51">
        <f>7025545.40999994+19794.8800001814</f>
        <v>7045340.2900001211</v>
      </c>
      <c r="L10" s="51">
        <v>6431955.3199999649</v>
      </c>
      <c r="P10" s="52"/>
      <c r="Q10" s="52"/>
      <c r="R10" s="52" t="s">
        <v>14</v>
      </c>
      <c r="S10" s="100">
        <v>35912183.929999955</v>
      </c>
      <c r="T10" s="100">
        <f t="shared" ref="T10:T24" si="1">S10-E10</f>
        <v>0</v>
      </c>
      <c r="U10" s="100">
        <v>19794.880000181402</v>
      </c>
    </row>
    <row r="11" spans="1:21" x14ac:dyDescent="0.2">
      <c r="B11" s="51"/>
      <c r="D11" s="53" t="s">
        <v>15</v>
      </c>
      <c r="E11" s="66">
        <f t="shared" si="0"/>
        <v>8107924.8000000045</v>
      </c>
      <c r="F11" s="51">
        <f>1063610.27-3992.91000000014</f>
        <v>1059617.3599999999</v>
      </c>
      <c r="G11" s="51">
        <f>1799349.93+20302.8100000009</f>
        <v>1819652.7400000009</v>
      </c>
      <c r="H11" s="51">
        <f>1075530.85+6467.12999999802</f>
        <v>1081997.9799999981</v>
      </c>
      <c r="I11" s="51">
        <f>1072231.25+415.79</f>
        <v>1072647.04</v>
      </c>
      <c r="J11" s="51">
        <f>975226.580000001 -9337.46000000089</f>
        <v>965889.12000000011</v>
      </c>
      <c r="K11" s="51">
        <f>1120657.99+-19794.9199999952</f>
        <v>1100863.0700000047</v>
      </c>
      <c r="L11" s="51">
        <v>1007257.4900000003</v>
      </c>
      <c r="P11" s="52"/>
      <c r="Q11" s="52"/>
      <c r="R11" s="52" t="s">
        <v>15</v>
      </c>
      <c r="S11" s="100">
        <v>8107924.8000000035</v>
      </c>
      <c r="T11" s="100">
        <f t="shared" si="1"/>
        <v>0</v>
      </c>
      <c r="U11" s="100">
        <v>-19794.9199999952</v>
      </c>
    </row>
    <row r="12" spans="1:21" x14ac:dyDescent="0.2">
      <c r="B12" s="51"/>
      <c r="D12" s="53" t="s">
        <v>16</v>
      </c>
      <c r="E12" s="66">
        <f t="shared" si="0"/>
        <v>42822.000000000036</v>
      </c>
      <c r="F12" s="51">
        <v>0</v>
      </c>
      <c r="G12" s="51">
        <v>350</v>
      </c>
      <c r="H12" s="51">
        <v>815.89999999999986</v>
      </c>
      <c r="I12" s="51">
        <v>0</v>
      </c>
      <c r="J12" s="51">
        <v>0</v>
      </c>
      <c r="K12" s="51">
        <v>44946.500000000036</v>
      </c>
      <c r="L12" s="51">
        <v>-3290.4</v>
      </c>
      <c r="P12" s="52"/>
      <c r="Q12" s="52"/>
      <c r="R12" s="52" t="s">
        <v>16</v>
      </c>
      <c r="S12" s="100">
        <v>42822.000000000036</v>
      </c>
      <c r="T12" s="100">
        <f t="shared" si="1"/>
        <v>0</v>
      </c>
      <c r="U12" s="100">
        <v>0</v>
      </c>
    </row>
    <row r="13" spans="1:21" x14ac:dyDescent="0.2">
      <c r="B13" s="51"/>
      <c r="D13" s="53" t="s">
        <v>17</v>
      </c>
      <c r="E13" s="66">
        <f t="shared" si="0"/>
        <v>6408243.5900000185</v>
      </c>
      <c r="F13" s="51">
        <v>48606.109999999986</v>
      </c>
      <c r="G13" s="51">
        <f>67238.6+3580.15000000013</f>
        <v>70818.750000000131</v>
      </c>
      <c r="H13" s="51">
        <f>1142256.26000001+1337.05999999167</f>
        <v>1143593.3200000017</v>
      </c>
      <c r="I13" s="51">
        <f>1147318.31+8164.14</f>
        <v>1155482.45</v>
      </c>
      <c r="J13" s="51">
        <v>1372314.1600000055</v>
      </c>
      <c r="K13" s="51">
        <f>1170647.16000001+6760.21999999601</f>
        <v>1177407.3800000059</v>
      </c>
      <c r="L13" s="51">
        <v>1440021.4200000055</v>
      </c>
      <c r="P13" s="52"/>
      <c r="Q13" s="52"/>
      <c r="R13" s="52" t="s">
        <v>17</v>
      </c>
      <c r="S13" s="100">
        <v>6408243.5900000138</v>
      </c>
      <c r="T13" s="100">
        <f t="shared" si="1"/>
        <v>0</v>
      </c>
      <c r="U13" s="100">
        <v>6760.2199999960103</v>
      </c>
    </row>
    <row r="14" spans="1:21" x14ac:dyDescent="0.2">
      <c r="B14" s="51"/>
      <c r="D14" s="53" t="s">
        <v>18</v>
      </c>
      <c r="E14" s="66">
        <f t="shared" si="0"/>
        <v>30897737.570000008</v>
      </c>
      <c r="F14" s="51">
        <f>902161.310000002-151.900000002235</f>
        <v>902009.4099999998</v>
      </c>
      <c r="G14" s="51">
        <f>1317728.15-234499.430000001</f>
        <v>1083228.7199999988</v>
      </c>
      <c r="H14" s="51">
        <f>1327756.7+11447.0299999974</f>
        <v>1339203.7299999974</v>
      </c>
      <c r="I14" s="51">
        <f>23715021.81+4963.6</f>
        <v>23719985.41</v>
      </c>
      <c r="J14" s="51">
        <f>1065313.77 + 9418.95999999344</f>
        <v>1074732.7299999935</v>
      </c>
      <c r="K14" s="51">
        <f>1315717.93+18904.8700000159</f>
        <v>1334622.8000000159</v>
      </c>
      <c r="L14" s="51">
        <v>1443954.7700000021</v>
      </c>
      <c r="P14" s="52"/>
      <c r="Q14" s="52"/>
      <c r="R14" s="52" t="s">
        <v>18</v>
      </c>
      <c r="S14" s="100">
        <v>30897737.570000008</v>
      </c>
      <c r="T14" s="100">
        <f t="shared" si="1"/>
        <v>0</v>
      </c>
      <c r="U14" s="100">
        <v>18904.870000015901</v>
      </c>
    </row>
    <row r="15" spans="1:21" x14ac:dyDescent="0.2">
      <c r="A15" s="67" t="s">
        <v>57</v>
      </c>
      <c r="B15" s="131">
        <f>B6-C6</f>
        <v>695039954.33999848</v>
      </c>
      <c r="C15" s="68">
        <f>B15/$B$6</f>
        <v>0.52438998277528681</v>
      </c>
      <c r="D15" s="53" t="s">
        <v>19</v>
      </c>
      <c r="E15" s="66">
        <f t="shared" si="0"/>
        <v>42365412.199999444</v>
      </c>
      <c r="F15" s="51">
        <v>2459260.4699999653</v>
      </c>
      <c r="G15" s="51">
        <v>6304768.9399999185</v>
      </c>
      <c r="H15" s="51">
        <v>6721791.7899999144</v>
      </c>
      <c r="I15" s="51">
        <v>6719298.1699999161</v>
      </c>
      <c r="J15" s="51">
        <v>6680159.0899999151</v>
      </c>
      <c r="K15" s="51">
        <v>6782048.3999999026</v>
      </c>
      <c r="L15" s="51">
        <v>6698085.3399999151</v>
      </c>
      <c r="P15" s="52"/>
      <c r="Q15" s="52"/>
      <c r="R15" s="52" t="s">
        <v>19</v>
      </c>
      <c r="S15" s="100">
        <v>42365412.199999914</v>
      </c>
      <c r="T15" s="100">
        <f t="shared" si="1"/>
        <v>4.6938657760620117E-7</v>
      </c>
      <c r="U15" s="100">
        <v>4.6938657760620117E-7</v>
      </c>
    </row>
    <row r="16" spans="1:21" x14ac:dyDescent="0.2">
      <c r="A16" s="67" t="s">
        <v>58</v>
      </c>
      <c r="B16" s="131">
        <f>C6</f>
        <v>630385734.88000154</v>
      </c>
      <c r="C16" s="68">
        <f>B16/$B$6</f>
        <v>0.47561001722471319</v>
      </c>
      <c r="D16" s="53" t="s">
        <v>20</v>
      </c>
      <c r="E16" s="66">
        <f t="shared" si="0"/>
        <v>8926913.9799999986</v>
      </c>
      <c r="F16" s="51">
        <f>817085.08-53607.0499999998</f>
        <v>763478.03000000014</v>
      </c>
      <c r="G16" s="51">
        <f>2710418.49-144659.630000001</f>
        <v>2565758.8599999994</v>
      </c>
      <c r="H16" s="51">
        <f>1214035.99+2641.18000000063</f>
        <v>1216677.1700000006</v>
      </c>
      <c r="I16" s="51">
        <v>997356.99999999977</v>
      </c>
      <c r="J16" s="51">
        <f>911581.85 + 13540.5299999993</f>
        <v>925122.37999999931</v>
      </c>
      <c r="K16" s="51">
        <v>1590055.7599999998</v>
      </c>
      <c r="L16" s="51">
        <v>868464.77999999956</v>
      </c>
      <c r="P16" s="52"/>
      <c r="Q16" s="52"/>
      <c r="R16" s="52" t="s">
        <v>20</v>
      </c>
      <c r="S16" s="100">
        <v>8926913.9799999967</v>
      </c>
      <c r="T16" s="100">
        <f t="shared" si="1"/>
        <v>0</v>
      </c>
      <c r="U16" s="100">
        <v>0</v>
      </c>
    </row>
    <row r="17" spans="1:21" x14ac:dyDescent="0.2">
      <c r="A17" s="53"/>
      <c r="B17" s="50"/>
      <c r="C17" s="53"/>
      <c r="D17" s="69" t="s">
        <v>59</v>
      </c>
      <c r="E17" s="66">
        <f t="shared" si="0"/>
        <v>67894828.269999996</v>
      </c>
      <c r="F17" s="51">
        <f>7467041.91999999-482448.149999987</f>
        <v>6984593.7700000023</v>
      </c>
      <c r="G17" s="51">
        <f>11959707.38+127672.980000019</f>
        <v>12087380.36000002</v>
      </c>
      <c r="H17" s="51">
        <f>9749684.37999997+91950.9500000179</f>
        <v>9841635.329999987</v>
      </c>
      <c r="I17" s="51">
        <f>9963184.68999994+28391.17</f>
        <v>9991575.8599999398</v>
      </c>
      <c r="J17" s="51">
        <f>9465743.70999995 -574874.75999999</f>
        <v>8890868.9499999601</v>
      </c>
      <c r="K17" s="51">
        <f>10573443.54-2503.97999988496</f>
        <v>10570939.560000114</v>
      </c>
      <c r="L17" s="51">
        <v>9527834.4399999771</v>
      </c>
      <c r="P17" s="52"/>
      <c r="Q17" s="52"/>
      <c r="R17" s="52" t="s">
        <v>59</v>
      </c>
      <c r="S17" s="100">
        <v>67894828.269999966</v>
      </c>
      <c r="T17" s="100">
        <f t="shared" si="1"/>
        <v>0</v>
      </c>
      <c r="U17" s="100">
        <v>-2503.9799998849599</v>
      </c>
    </row>
    <row r="18" spans="1:21" x14ac:dyDescent="0.2">
      <c r="B18" s="70"/>
      <c r="C18" s="53"/>
      <c r="D18" s="53" t="s">
        <v>22</v>
      </c>
      <c r="E18" s="66">
        <f t="shared" si="0"/>
        <v>32263511.690000005</v>
      </c>
      <c r="F18" s="51">
        <f>1831401.06-160712.99</f>
        <v>1670688.07</v>
      </c>
      <c r="G18" s="51">
        <f>1933177.85-4670.81999999843</f>
        <v>1928507.0300000017</v>
      </c>
      <c r="H18" s="51">
        <f>5047251.77+6097.30999999865</f>
        <v>5053349.0799999982</v>
      </c>
      <c r="I18" s="51">
        <f>5254602.81-2338.28</f>
        <v>5252264.5299999993</v>
      </c>
      <c r="J18" s="51">
        <f>6405332.17-6089.17999999225</f>
        <v>6399242.9900000077</v>
      </c>
      <c r="K18" s="51">
        <f>6839632.45-746.83999999985</f>
        <v>6838885.6100000003</v>
      </c>
      <c r="L18" s="51">
        <v>5120574.38</v>
      </c>
      <c r="P18" s="52"/>
      <c r="Q18" s="52"/>
      <c r="R18" s="52" t="s">
        <v>22</v>
      </c>
      <c r="S18" s="100">
        <v>32263511.690000005</v>
      </c>
      <c r="T18" s="100">
        <f t="shared" si="1"/>
        <v>0</v>
      </c>
      <c r="U18" s="100">
        <v>-746.83999999984997</v>
      </c>
    </row>
    <row r="19" spans="1:21" x14ac:dyDescent="0.2">
      <c r="A19" s="53"/>
      <c r="B19" s="50"/>
      <c r="C19" s="53"/>
      <c r="D19" s="53" t="s">
        <v>23</v>
      </c>
      <c r="E19" s="66">
        <f t="shared" si="0"/>
        <v>15696121.449999999</v>
      </c>
      <c r="F19" s="51">
        <f>2565201.92-11227.7600000025</f>
        <v>2553974.1599999974</v>
      </c>
      <c r="G19" s="51">
        <f>2054985.04-314096.689999999</f>
        <v>1740888.350000001</v>
      </c>
      <c r="H19" s="51">
        <f>2540314.96+119.990000003948</f>
        <v>2540434.9500000039</v>
      </c>
      <c r="I19" s="51">
        <f>2196393.6+619.78</f>
        <v>2197013.38</v>
      </c>
      <c r="J19" s="51">
        <f>1840180.69 -49024.5200000051</f>
        <v>1791156.1699999948</v>
      </c>
      <c r="K19" s="51">
        <f>2141341.5+10303.9800000023</f>
        <v>2151645.4800000023</v>
      </c>
      <c r="L19" s="51">
        <v>2721008.9600000018</v>
      </c>
      <c r="P19" s="52"/>
      <c r="Q19" s="52"/>
      <c r="R19" s="52" t="s">
        <v>23</v>
      </c>
      <c r="S19" s="100">
        <v>15696121.450000001</v>
      </c>
      <c r="T19" s="100">
        <f t="shared" si="1"/>
        <v>0</v>
      </c>
      <c r="U19" s="100">
        <v>10303.98000000231</v>
      </c>
    </row>
    <row r="20" spans="1:21" x14ac:dyDescent="0.2">
      <c r="A20" s="53"/>
      <c r="B20" s="50"/>
      <c r="C20" s="53"/>
      <c r="D20" s="53" t="s">
        <v>24</v>
      </c>
      <c r="E20" s="66">
        <f t="shared" si="0"/>
        <v>544705.89</v>
      </c>
      <c r="F20" s="51">
        <v>6534.65</v>
      </c>
      <c r="G20" s="51">
        <v>38103.199999999997</v>
      </c>
      <c r="H20" s="51">
        <v>115769.70000000001</v>
      </c>
      <c r="I20" s="51">
        <v>102312.44</v>
      </c>
      <c r="J20" s="51">
        <v>122293.98000000001</v>
      </c>
      <c r="K20" s="51">
        <v>99612.91</v>
      </c>
      <c r="L20" s="51">
        <v>60079.009999999995</v>
      </c>
      <c r="P20" s="52"/>
      <c r="Q20" s="52"/>
      <c r="R20" s="52" t="s">
        <v>24</v>
      </c>
      <c r="S20" s="100">
        <v>544705.89</v>
      </c>
      <c r="T20" s="100">
        <f t="shared" si="1"/>
        <v>0</v>
      </c>
      <c r="U20" s="100">
        <v>0</v>
      </c>
    </row>
    <row r="21" spans="1:21" x14ac:dyDescent="0.2">
      <c r="A21" s="53"/>
      <c r="B21" s="50"/>
      <c r="C21" s="53"/>
      <c r="D21" s="53" t="s">
        <v>31</v>
      </c>
      <c r="E21" s="66">
        <f t="shared" si="0"/>
        <v>88884.799999999988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f>96690.9-9478.5</f>
        <v>87212.4</v>
      </c>
      <c r="L21" s="51">
        <v>1672.3999999999996</v>
      </c>
      <c r="P21" s="52"/>
      <c r="Q21" s="52"/>
      <c r="R21" s="52" t="s">
        <v>31</v>
      </c>
      <c r="S21" s="100">
        <v>88884.799999999945</v>
      </c>
      <c r="T21" s="100">
        <f t="shared" si="1"/>
        <v>0</v>
      </c>
      <c r="U21" s="100">
        <v>-9478.5</v>
      </c>
    </row>
    <row r="22" spans="1:21" x14ac:dyDescent="0.2">
      <c r="A22" s="53"/>
      <c r="B22" s="50"/>
      <c r="C22" s="53"/>
      <c r="D22" s="53" t="s">
        <v>33</v>
      </c>
      <c r="E22" s="66">
        <f t="shared" si="0"/>
        <v>2963.75</v>
      </c>
      <c r="F22" s="51">
        <v>0</v>
      </c>
      <c r="G22" s="51">
        <v>0</v>
      </c>
      <c r="H22" s="51">
        <v>0</v>
      </c>
      <c r="I22" s="51">
        <v>420</v>
      </c>
      <c r="J22" s="51">
        <v>2543.75</v>
      </c>
      <c r="K22" s="51">
        <v>0</v>
      </c>
      <c r="L22" s="51">
        <v>0</v>
      </c>
      <c r="P22" s="52"/>
      <c r="Q22" s="52"/>
      <c r="R22" s="52" t="s">
        <v>33</v>
      </c>
      <c r="S22" s="100">
        <v>2963.75</v>
      </c>
      <c r="T22" s="100">
        <f t="shared" si="1"/>
        <v>0</v>
      </c>
      <c r="U22" s="100">
        <v>0</v>
      </c>
    </row>
    <row r="23" spans="1:21" x14ac:dyDescent="0.2">
      <c r="A23" s="53"/>
      <c r="B23" s="50"/>
      <c r="C23" s="53"/>
      <c r="D23" s="53" t="s">
        <v>26</v>
      </c>
      <c r="E23" s="66">
        <f t="shared" si="0"/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P23" s="52"/>
      <c r="Q23" s="52"/>
      <c r="R23" s="52" t="s">
        <v>26</v>
      </c>
      <c r="S23" s="100">
        <v>0</v>
      </c>
      <c r="T23" s="100">
        <f t="shared" si="1"/>
        <v>0</v>
      </c>
      <c r="U23" s="100">
        <v>0</v>
      </c>
    </row>
    <row r="24" spans="1:21" ht="13.5" thickBot="1" x14ac:dyDescent="0.25">
      <c r="A24" s="53"/>
      <c r="B24" s="50"/>
      <c r="C24" s="53"/>
      <c r="D24" s="53" t="s">
        <v>25</v>
      </c>
      <c r="E24" s="66">
        <f t="shared" si="0"/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P24" s="52"/>
      <c r="Q24" s="52"/>
      <c r="R24" s="52" t="s">
        <v>25</v>
      </c>
      <c r="S24" s="100">
        <v>0</v>
      </c>
      <c r="T24" s="100">
        <f t="shared" si="1"/>
        <v>0</v>
      </c>
      <c r="U24" s="100">
        <v>0</v>
      </c>
    </row>
    <row r="25" spans="1:21" ht="13.5" thickBot="1" x14ac:dyDescent="0.25">
      <c r="A25" s="53"/>
      <c r="B25" s="50"/>
      <c r="C25" s="53"/>
      <c r="D25" s="71" t="s">
        <v>60</v>
      </c>
      <c r="E25" s="72">
        <f>SUM(E9:E24)</f>
        <v>630385734.88000154</v>
      </c>
      <c r="F25" s="73">
        <f t="shared" ref="F25:Q25" si="2">SUM(F9:F24)</f>
        <v>26210013.069999952</v>
      </c>
      <c r="G25" s="73">
        <f t="shared" si="2"/>
        <v>41516274.959999844</v>
      </c>
      <c r="H25" s="73">
        <f t="shared" si="2"/>
        <v>106138015.66999985</v>
      </c>
      <c r="I25" s="73">
        <f t="shared" si="2"/>
        <v>129626681.96000127</v>
      </c>
      <c r="J25" s="73">
        <f t="shared" si="2"/>
        <v>109452845.67000102</v>
      </c>
      <c r="K25" s="73">
        <f t="shared" si="2"/>
        <v>111191917.34999824</v>
      </c>
      <c r="L25" s="73">
        <f t="shared" si="2"/>
        <v>106249986.20000137</v>
      </c>
      <c r="M25" s="73">
        <f t="shared" si="2"/>
        <v>0</v>
      </c>
      <c r="N25" s="73">
        <f t="shared" si="2"/>
        <v>0</v>
      </c>
      <c r="O25" s="73">
        <f t="shared" si="2"/>
        <v>0</v>
      </c>
      <c r="P25" s="73">
        <f t="shared" si="2"/>
        <v>0</v>
      </c>
      <c r="Q25" s="73">
        <f t="shared" si="2"/>
        <v>0</v>
      </c>
      <c r="S25" s="128">
        <v>0</v>
      </c>
      <c r="T25" s="128">
        <f t="shared" ref="T25:U25" si="3">SUM(T9:T24)</f>
        <v>4.6938657760620117E-7</v>
      </c>
      <c r="U25" s="128">
        <f t="shared" si="3"/>
        <v>9069.2199974376999</v>
      </c>
    </row>
    <row r="26" spans="1:21" x14ac:dyDescent="0.2">
      <c r="A26" s="53"/>
      <c r="B26" s="50"/>
      <c r="C26" s="53"/>
      <c r="D26" s="53"/>
      <c r="E26" s="53"/>
      <c r="F26" s="50"/>
      <c r="G26" s="50"/>
    </row>
    <row r="27" spans="1:21" ht="29.25" customHeight="1" x14ac:dyDescent="0.2">
      <c r="A27" s="11"/>
      <c r="B27" s="161" t="s">
        <v>81</v>
      </c>
      <c r="C27" s="161"/>
      <c r="D27" s="161"/>
      <c r="E27" s="161"/>
      <c r="F27" s="161"/>
      <c r="G27" s="74"/>
    </row>
    <row r="28" spans="1:21" x14ac:dyDescent="0.2">
      <c r="A28" s="53"/>
      <c r="B28" s="50"/>
      <c r="C28" s="53"/>
      <c r="D28" s="53"/>
      <c r="E28" s="133"/>
      <c r="F28" s="50"/>
      <c r="G28" s="50"/>
    </row>
    <row r="29" spans="1:21" ht="29.25" customHeight="1" x14ac:dyDescent="0.2">
      <c r="B29" s="161" t="str">
        <f>"GENERAL OPERATIONS" &amp; " YTD EXPENSES"&amp;CHAR(10)&amp;TEXT(C6,"$#,##0")</f>
        <v>GENERAL OPERATIONS YTD EXPENSES
$630,385,735</v>
      </c>
      <c r="C29" s="161"/>
      <c r="D29" s="161"/>
      <c r="E29" s="161"/>
      <c r="F29" s="161"/>
      <c r="G29" s="74"/>
      <c r="H29" s="132" t="s">
        <v>82</v>
      </c>
    </row>
    <row r="30" spans="1:21" x14ac:dyDescent="0.2">
      <c r="A30" s="53"/>
      <c r="B30" s="50"/>
      <c r="C30" s="53"/>
      <c r="D30" s="53"/>
      <c r="E30" s="53"/>
      <c r="F30" s="50"/>
      <c r="G30" s="50"/>
    </row>
    <row r="31" spans="1:21" x14ac:dyDescent="0.2">
      <c r="A31" s="53"/>
      <c r="B31" s="50">
        <v>1197491160.8699994</v>
      </c>
      <c r="C31" s="53">
        <v>1139032581.8400021</v>
      </c>
      <c r="D31" s="53"/>
      <c r="E31" s="53"/>
      <c r="F31" s="50"/>
      <c r="G31" s="50"/>
    </row>
    <row r="32" spans="1:21" x14ac:dyDescent="0.2">
      <c r="A32" s="53"/>
      <c r="B32" s="50"/>
      <c r="C32" s="53"/>
      <c r="D32" s="53"/>
      <c r="E32" s="50"/>
      <c r="F32" s="50"/>
      <c r="G32" s="50"/>
    </row>
    <row r="33" spans="1:21" x14ac:dyDescent="0.2">
      <c r="A33" s="75"/>
      <c r="B33" s="76"/>
      <c r="C33" s="75"/>
      <c r="D33" s="75"/>
      <c r="E33" s="75"/>
      <c r="F33" s="76"/>
      <c r="G33" s="76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8"/>
    </row>
    <row r="34" spans="1:21" x14ac:dyDescent="0.2">
      <c r="A34" s="53"/>
      <c r="B34" s="50"/>
      <c r="C34" s="53"/>
      <c r="D34" s="53"/>
      <c r="E34" s="53"/>
      <c r="F34" s="50"/>
      <c r="G34" s="50"/>
    </row>
    <row r="35" spans="1:21" x14ac:dyDescent="0.2">
      <c r="A35" s="53"/>
      <c r="B35" s="50"/>
      <c r="C35" s="53"/>
      <c r="D35" s="53"/>
      <c r="E35" s="53"/>
      <c r="F35" s="50"/>
      <c r="G35" s="50"/>
    </row>
    <row r="36" spans="1:21" ht="13.5" thickBot="1" x14ac:dyDescent="0.25"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21" ht="13.5" thickBot="1" x14ac:dyDescent="0.25">
      <c r="A37" s="162" t="s">
        <v>61</v>
      </c>
      <c r="B37" s="163"/>
      <c r="C37" s="163"/>
      <c r="D37" s="163"/>
      <c r="E37" s="163"/>
      <c r="F37" s="164"/>
      <c r="G37" s="53"/>
      <c r="H37" s="52"/>
      <c r="I37" s="52"/>
      <c r="J37" s="52"/>
      <c r="K37" s="52"/>
      <c r="L37" s="52"/>
      <c r="M37" s="52"/>
      <c r="N37" s="52"/>
      <c r="O37" s="52"/>
      <c r="P37" s="52"/>
      <c r="Q37" s="52"/>
    </row>
    <row r="38" spans="1:21" ht="13.5" thickBot="1" x14ac:dyDescent="0.25">
      <c r="B38" s="51"/>
      <c r="D38" s="53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</row>
    <row r="39" spans="1:21" ht="26.25" thickBot="1" x14ac:dyDescent="0.25">
      <c r="B39" s="79" t="s">
        <v>62</v>
      </c>
      <c r="C39" s="80" t="s">
        <v>63</v>
      </c>
      <c r="D39" s="81" t="s">
        <v>64</v>
      </c>
      <c r="E39" s="82" t="s">
        <v>45</v>
      </c>
      <c r="F39" s="83" t="s">
        <v>46</v>
      </c>
      <c r="G39" s="83" t="s">
        <v>47</v>
      </c>
      <c r="H39" s="83" t="s">
        <v>48</v>
      </c>
      <c r="I39" s="83" t="s">
        <v>49</v>
      </c>
      <c r="J39" s="83" t="s">
        <v>50</v>
      </c>
      <c r="K39" s="83" t="s">
        <v>51</v>
      </c>
      <c r="L39" s="83" t="s">
        <v>52</v>
      </c>
      <c r="M39" s="83" t="s">
        <v>53</v>
      </c>
      <c r="N39" s="83" t="s">
        <v>54</v>
      </c>
      <c r="O39" s="83" t="s">
        <v>55</v>
      </c>
      <c r="P39" s="84" t="s">
        <v>56</v>
      </c>
      <c r="Q39" s="52"/>
      <c r="R39" s="85"/>
      <c r="S39" s="134"/>
      <c r="T39" s="134"/>
    </row>
    <row r="40" spans="1:21" s="85" customFormat="1" x14ac:dyDescent="0.2">
      <c r="A40" s="85" t="s">
        <v>8</v>
      </c>
      <c r="B40" s="86">
        <v>800395899.48000002</v>
      </c>
      <c r="C40" s="87">
        <f>SUM(E40:P40)</f>
        <v>750211797.31999981</v>
      </c>
      <c r="D40" s="88">
        <f>C40/B40</f>
        <v>0.93730090047612225</v>
      </c>
      <c r="E40" s="135">
        <v>283416.8200000003</v>
      </c>
      <c r="F40" s="135">
        <v>23622403.879999999</v>
      </c>
      <c r="G40" s="135">
        <v>232065648.81</v>
      </c>
      <c r="H40" s="135">
        <v>175157418.03</v>
      </c>
      <c r="I40" s="135">
        <f>252258921.69 -2408354.35000002</f>
        <v>249850567.33999997</v>
      </c>
      <c r="J40" s="135">
        <v>54090759.909999996</v>
      </c>
      <c r="K40" s="135">
        <v>15141582.530000001</v>
      </c>
      <c r="L40" s="135"/>
      <c r="M40" s="135"/>
      <c r="N40" s="135"/>
      <c r="O40" s="135"/>
      <c r="P40" s="135"/>
      <c r="R40" s="142"/>
      <c r="S40" s="148">
        <v>750211797.31999993</v>
      </c>
      <c r="T40" s="134">
        <f>S40-C40</f>
        <v>0</v>
      </c>
      <c r="U40" s="134">
        <v>0</v>
      </c>
    </row>
    <row r="41" spans="1:21" s="85" customFormat="1" x14ac:dyDescent="0.2">
      <c r="A41" s="85" t="s">
        <v>9</v>
      </c>
      <c r="B41" s="89">
        <v>90000</v>
      </c>
      <c r="C41" s="90">
        <f>SUM(E41:P41)</f>
        <v>5669697.0899999999</v>
      </c>
      <c r="D41" s="91">
        <f>C41/B41</f>
        <v>62.996634333333333</v>
      </c>
      <c r="E41" s="136">
        <v>186624.72</v>
      </c>
      <c r="F41" s="136">
        <v>225298.27</v>
      </c>
      <c r="G41" s="136">
        <v>278710.13</v>
      </c>
      <c r="H41" s="136">
        <v>614426.56999999995</v>
      </c>
      <c r="I41" s="136">
        <f>446568.35 + 635413.3</f>
        <v>1081981.6499999999</v>
      </c>
      <c r="J41" s="136">
        <v>1560074.4</v>
      </c>
      <c r="K41" s="136">
        <v>1722581.35</v>
      </c>
      <c r="L41" s="136"/>
      <c r="M41" s="136"/>
      <c r="N41" s="136"/>
      <c r="O41" s="136"/>
      <c r="P41" s="136"/>
      <c r="R41" s="142"/>
      <c r="S41" s="148">
        <v>5669697.0899999999</v>
      </c>
      <c r="T41" s="134">
        <f t="shared" ref="T41:T43" si="4">S41-C41</f>
        <v>0</v>
      </c>
      <c r="U41" s="134">
        <v>0</v>
      </c>
    </row>
    <row r="42" spans="1:21" s="85" customFormat="1" x14ac:dyDescent="0.2">
      <c r="A42" s="85" t="s">
        <v>10</v>
      </c>
      <c r="B42" s="89">
        <v>503709794.62</v>
      </c>
      <c r="C42" s="90">
        <f>SUM(E42:P42)</f>
        <v>254666140.5</v>
      </c>
      <c r="D42" s="91">
        <f>C42/B42</f>
        <v>0.50558107708054556</v>
      </c>
      <c r="E42" s="136">
        <v>5367835.4800000004</v>
      </c>
      <c r="F42" s="136">
        <f>5752262.79+40986.0000000074</f>
        <v>5793248.7900000075</v>
      </c>
      <c r="G42" s="136">
        <v>48556637</v>
      </c>
      <c r="H42" s="136">
        <v>48732788</v>
      </c>
      <c r="I42" s="136">
        <f>48714026 -38067.0000000298</f>
        <v>48675958.99999997</v>
      </c>
      <c r="J42" s="136">
        <v>48675959</v>
      </c>
      <c r="K42" s="136">
        <v>48863713.230000004</v>
      </c>
      <c r="L42" s="136"/>
      <c r="M42" s="136"/>
      <c r="N42" s="136"/>
      <c r="O42" s="136"/>
      <c r="P42" s="136"/>
      <c r="R42" s="142"/>
      <c r="S42" s="148">
        <v>254666140.5</v>
      </c>
      <c r="T42" s="134">
        <f t="shared" si="4"/>
        <v>0</v>
      </c>
      <c r="U42" s="134">
        <v>0</v>
      </c>
    </row>
    <row r="43" spans="1:21" s="85" customFormat="1" ht="13.5" thickBot="1" x14ac:dyDescent="0.25">
      <c r="A43" s="85" t="s">
        <v>11</v>
      </c>
      <c r="B43" s="92">
        <v>1448256</v>
      </c>
      <c r="C43" s="90">
        <f>SUM(E43:P43)</f>
        <v>9749.380000000001</v>
      </c>
      <c r="D43" s="93">
        <f>C43/B43</f>
        <v>6.7318070838304836E-3</v>
      </c>
      <c r="E43" s="137">
        <v>0</v>
      </c>
      <c r="F43" s="137">
        <v>9801</v>
      </c>
      <c r="G43" s="137">
        <v>0</v>
      </c>
      <c r="H43" s="137">
        <v>0</v>
      </c>
      <c r="I43" s="137">
        <v>0</v>
      </c>
      <c r="J43" s="137">
        <v>1091.3800000000001</v>
      </c>
      <c r="K43" s="137">
        <v>-1143</v>
      </c>
      <c r="L43" s="137"/>
      <c r="M43" s="137"/>
      <c r="N43" s="137"/>
      <c r="O43" s="137"/>
      <c r="P43" s="137"/>
      <c r="R43" s="143"/>
      <c r="S43" s="148">
        <v>9749.3799999999992</v>
      </c>
      <c r="T43" s="134">
        <f t="shared" si="4"/>
        <v>0</v>
      </c>
      <c r="U43" s="134">
        <v>0</v>
      </c>
    </row>
    <row r="44" spans="1:21" s="94" customFormat="1" ht="12.75" customHeight="1" thickBot="1" x14ac:dyDescent="0.25">
      <c r="B44" s="95">
        <f>SUM(B40:B43)</f>
        <v>1305643950.0999999</v>
      </c>
      <c r="C44" s="96">
        <f>SUM(C40:C43)</f>
        <v>1010557384.2899998</v>
      </c>
      <c r="D44" s="97">
        <f>C44/B44</f>
        <v>0.77399154969668471</v>
      </c>
      <c r="E44" s="98">
        <f>SUM(E40:E43)</f>
        <v>5837877.0200000005</v>
      </c>
      <c r="F44" s="99">
        <f t="shared" ref="F44:P44" si="5">SUM(F40:F43)</f>
        <v>29650751.940000005</v>
      </c>
      <c r="G44" s="99">
        <f t="shared" si="5"/>
        <v>280900995.94</v>
      </c>
      <c r="H44" s="99">
        <f t="shared" si="5"/>
        <v>224504632.59999999</v>
      </c>
      <c r="I44" s="99">
        <f t="shared" si="5"/>
        <v>299608507.98999995</v>
      </c>
      <c r="J44" s="99">
        <f t="shared" si="5"/>
        <v>104327884.69</v>
      </c>
      <c r="K44" s="99">
        <f t="shared" si="5"/>
        <v>65726734.110000007</v>
      </c>
      <c r="L44" s="99">
        <f t="shared" si="5"/>
        <v>0</v>
      </c>
      <c r="M44" s="99">
        <f t="shared" si="5"/>
        <v>0</v>
      </c>
      <c r="N44" s="99">
        <f t="shared" si="5"/>
        <v>0</v>
      </c>
      <c r="O44" s="99">
        <f t="shared" si="5"/>
        <v>0</v>
      </c>
      <c r="P44" s="99">
        <f t="shared" si="5"/>
        <v>0</v>
      </c>
      <c r="Q44" s="52"/>
      <c r="R44" s="51"/>
      <c r="S44" s="100"/>
      <c r="T44" s="100"/>
      <c r="U44" s="165"/>
    </row>
    <row r="45" spans="1:21" ht="13.5" thickBot="1" x14ac:dyDescent="0.25">
      <c r="B45" s="51"/>
      <c r="C45" s="100"/>
      <c r="E45" s="51"/>
      <c r="L45" s="52"/>
      <c r="M45" s="52"/>
      <c r="N45" s="52"/>
      <c r="O45" s="52"/>
      <c r="P45" s="52"/>
      <c r="Q45" s="52"/>
    </row>
    <row r="46" spans="1:21" s="94" customFormat="1" ht="12.75" customHeight="1" x14ac:dyDescent="0.2">
      <c r="A46" s="101" t="s">
        <v>65</v>
      </c>
      <c r="B46" s="102">
        <f>+B40+B41+B43</f>
        <v>801934155.48000002</v>
      </c>
      <c r="C46" s="87">
        <f>+C40+C41+C43</f>
        <v>755891243.78999984</v>
      </c>
      <c r="D46" s="103">
        <f>C46/B46</f>
        <v>0.94258517189302027</v>
      </c>
      <c r="E46" s="104">
        <f>+E40+E41+E43</f>
        <v>470041.54000000027</v>
      </c>
      <c r="F46" s="104">
        <f t="shared" ref="F46:P46" si="6">+F40+F41+F43</f>
        <v>23857503.149999999</v>
      </c>
      <c r="G46" s="104">
        <f t="shared" si="6"/>
        <v>232344358.94</v>
      </c>
      <c r="H46" s="104">
        <f t="shared" si="6"/>
        <v>175771844.59999999</v>
      </c>
      <c r="I46" s="104">
        <f t="shared" si="6"/>
        <v>250932548.98999998</v>
      </c>
      <c r="J46" s="104">
        <f t="shared" si="6"/>
        <v>55651925.689999998</v>
      </c>
      <c r="K46" s="104">
        <f t="shared" si="6"/>
        <v>16863020.880000003</v>
      </c>
      <c r="L46" s="104">
        <f t="shared" si="6"/>
        <v>0</v>
      </c>
      <c r="M46" s="104">
        <f t="shared" si="6"/>
        <v>0</v>
      </c>
      <c r="N46" s="104">
        <f t="shared" si="6"/>
        <v>0</v>
      </c>
      <c r="O46" s="104">
        <f t="shared" si="6"/>
        <v>0</v>
      </c>
      <c r="P46" s="104">
        <f t="shared" si="6"/>
        <v>0</v>
      </c>
      <c r="Q46" s="52"/>
      <c r="R46" s="52"/>
      <c r="S46" s="100"/>
      <c r="T46" s="100"/>
      <c r="U46" s="165"/>
    </row>
    <row r="47" spans="1:21" s="94" customFormat="1" ht="12.75" customHeight="1" thickBot="1" x14ac:dyDescent="0.25">
      <c r="A47" s="101" t="s">
        <v>66</v>
      </c>
      <c r="B47" s="105">
        <f>B42</f>
        <v>503709794.62</v>
      </c>
      <c r="C47" s="106">
        <f>C71</f>
        <v>254666140.5</v>
      </c>
      <c r="D47" s="107">
        <f>C47/B47</f>
        <v>0.50558107708054556</v>
      </c>
      <c r="E47" s="108">
        <f>E42</f>
        <v>5367835.4800000004</v>
      </c>
      <c r="F47" s="108">
        <f t="shared" ref="F47:P47" si="7">F42</f>
        <v>5793248.7900000075</v>
      </c>
      <c r="G47" s="108">
        <f t="shared" si="7"/>
        <v>48556637</v>
      </c>
      <c r="H47" s="108">
        <f t="shared" si="7"/>
        <v>48732788</v>
      </c>
      <c r="I47" s="108">
        <f t="shared" si="7"/>
        <v>48675958.99999997</v>
      </c>
      <c r="J47" s="108">
        <f t="shared" si="7"/>
        <v>48675959</v>
      </c>
      <c r="K47" s="108">
        <f t="shared" si="7"/>
        <v>48863713.230000004</v>
      </c>
      <c r="L47" s="108">
        <f t="shared" si="7"/>
        <v>0</v>
      </c>
      <c r="M47" s="108">
        <f t="shared" si="7"/>
        <v>0</v>
      </c>
      <c r="N47" s="108">
        <f t="shared" si="7"/>
        <v>0</v>
      </c>
      <c r="O47" s="108">
        <f t="shared" si="7"/>
        <v>0</v>
      </c>
      <c r="P47" s="108">
        <f t="shared" si="7"/>
        <v>0</v>
      </c>
      <c r="Q47" s="52"/>
      <c r="R47" s="52"/>
      <c r="S47" s="100"/>
      <c r="T47" s="100"/>
      <c r="U47" s="165"/>
    </row>
    <row r="48" spans="1:21" s="94" customFormat="1" ht="12.75" customHeight="1" thickBot="1" x14ac:dyDescent="0.25">
      <c r="B48" s="95">
        <f>SUM(B46:B47)</f>
        <v>1305643950.0999999</v>
      </c>
      <c r="C48" s="109">
        <f>SUM(E48:P48)</f>
        <v>1010557384.2900001</v>
      </c>
      <c r="D48" s="110">
        <f>C48/B48</f>
        <v>0.77399154969668493</v>
      </c>
      <c r="E48" s="111">
        <f>+E46+E47</f>
        <v>5837877.0200000005</v>
      </c>
      <c r="F48" s="112">
        <f t="shared" ref="F48:P48" si="8">+F46+F47</f>
        <v>29650751.940000005</v>
      </c>
      <c r="G48" s="112">
        <f t="shared" si="8"/>
        <v>280900995.94</v>
      </c>
      <c r="H48" s="112">
        <f t="shared" si="8"/>
        <v>224504632.59999999</v>
      </c>
      <c r="I48" s="112">
        <f t="shared" si="8"/>
        <v>299608507.98999995</v>
      </c>
      <c r="J48" s="112">
        <f t="shared" si="8"/>
        <v>104327884.69</v>
      </c>
      <c r="K48" s="112">
        <f t="shared" si="8"/>
        <v>65726734.110000007</v>
      </c>
      <c r="L48" s="112">
        <f t="shared" si="8"/>
        <v>0</v>
      </c>
      <c r="M48" s="112">
        <f t="shared" si="8"/>
        <v>0</v>
      </c>
      <c r="N48" s="112">
        <f t="shared" si="8"/>
        <v>0</v>
      </c>
      <c r="O48" s="112">
        <f t="shared" si="8"/>
        <v>0</v>
      </c>
      <c r="P48" s="113">
        <f t="shared" si="8"/>
        <v>0</v>
      </c>
      <c r="Q48" s="52"/>
      <c r="R48" s="52"/>
      <c r="S48" s="100"/>
      <c r="T48" s="100"/>
      <c r="U48" s="165"/>
    </row>
    <row r="49" spans="1:21" s="94" customFormat="1" ht="12.75" customHeight="1" thickBot="1" x14ac:dyDescent="0.25"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100"/>
      <c r="T49" s="100"/>
      <c r="U49" s="165"/>
    </row>
    <row r="50" spans="1:21" s="94" customFormat="1" ht="12.75" customHeight="1" thickBot="1" x14ac:dyDescent="0.25">
      <c r="C50" s="154" t="s">
        <v>67</v>
      </c>
      <c r="D50" s="155"/>
      <c r="E50" s="114" t="s">
        <v>45</v>
      </c>
      <c r="F50" s="115" t="s">
        <v>46</v>
      </c>
      <c r="G50" s="115" t="s">
        <v>47</v>
      </c>
      <c r="H50" s="115" t="s">
        <v>48</v>
      </c>
      <c r="I50" s="115" t="s">
        <v>49</v>
      </c>
      <c r="J50" s="115" t="s">
        <v>50</v>
      </c>
      <c r="K50" s="115" t="s">
        <v>51</v>
      </c>
      <c r="L50" s="115" t="s">
        <v>52</v>
      </c>
      <c r="M50" s="115" t="s">
        <v>53</v>
      </c>
      <c r="N50" s="115" t="s">
        <v>54</v>
      </c>
      <c r="O50" s="115" t="s">
        <v>55</v>
      </c>
      <c r="P50" s="55" t="s">
        <v>56</v>
      </c>
      <c r="Q50" s="52"/>
      <c r="R50" s="52"/>
      <c r="S50" s="100"/>
      <c r="T50" s="100"/>
      <c r="U50" s="165"/>
    </row>
    <row r="51" spans="1:21" s="94" customFormat="1" ht="12.75" customHeight="1" x14ac:dyDescent="0.2">
      <c r="C51" s="116" t="s">
        <v>65</v>
      </c>
      <c r="D51" s="52"/>
      <c r="E51" s="51">
        <f>E46</f>
        <v>470041.54000000027</v>
      </c>
      <c r="F51" s="51">
        <f>E51+F46</f>
        <v>24327544.689999998</v>
      </c>
      <c r="G51" s="51">
        <f t="shared" ref="G51:P52" si="9">F51+G46</f>
        <v>256671903.63</v>
      </c>
      <c r="H51" s="51">
        <f t="shared" si="9"/>
        <v>432443748.23000002</v>
      </c>
      <c r="I51" s="51">
        <f t="shared" si="9"/>
        <v>683376297.22000003</v>
      </c>
      <c r="J51" s="51">
        <f t="shared" si="9"/>
        <v>739028222.91000009</v>
      </c>
      <c r="K51" s="51">
        <f t="shared" si="9"/>
        <v>755891243.79000008</v>
      </c>
      <c r="L51" s="51">
        <f t="shared" si="9"/>
        <v>755891243.79000008</v>
      </c>
      <c r="M51" s="51">
        <f t="shared" si="9"/>
        <v>755891243.79000008</v>
      </c>
      <c r="N51" s="51">
        <f t="shared" si="9"/>
        <v>755891243.79000008</v>
      </c>
      <c r="O51" s="51">
        <f t="shared" si="9"/>
        <v>755891243.79000008</v>
      </c>
      <c r="P51" s="51">
        <f t="shared" si="9"/>
        <v>755891243.79000008</v>
      </c>
      <c r="Q51" s="52"/>
      <c r="R51" s="52"/>
      <c r="S51" s="100"/>
      <c r="T51" s="100"/>
      <c r="U51" s="165"/>
    </row>
    <row r="52" spans="1:21" s="94" customFormat="1" ht="12.75" customHeight="1" thickBot="1" x14ac:dyDescent="0.25">
      <c r="C52" s="116" t="s">
        <v>66</v>
      </c>
      <c r="D52" s="52"/>
      <c r="E52" s="51">
        <f>E47</f>
        <v>5367835.4800000004</v>
      </c>
      <c r="F52" s="51">
        <f>E52+F47</f>
        <v>11161084.270000007</v>
      </c>
      <c r="G52" s="51">
        <f t="shared" si="9"/>
        <v>59717721.270000011</v>
      </c>
      <c r="H52" s="51">
        <f t="shared" si="9"/>
        <v>108450509.27000001</v>
      </c>
      <c r="I52" s="51">
        <f t="shared" si="9"/>
        <v>157126468.26999998</v>
      </c>
      <c r="J52" s="51">
        <f t="shared" si="9"/>
        <v>205802427.26999998</v>
      </c>
      <c r="K52" s="51">
        <f t="shared" si="9"/>
        <v>254666140.5</v>
      </c>
      <c r="L52" s="51">
        <f t="shared" si="9"/>
        <v>254666140.5</v>
      </c>
      <c r="M52" s="51">
        <f t="shared" si="9"/>
        <v>254666140.5</v>
      </c>
      <c r="N52" s="51">
        <f t="shared" si="9"/>
        <v>254666140.5</v>
      </c>
      <c r="O52" s="51">
        <f t="shared" si="9"/>
        <v>254666140.5</v>
      </c>
      <c r="P52" s="51">
        <f t="shared" si="9"/>
        <v>254666140.5</v>
      </c>
      <c r="Q52" s="52"/>
      <c r="R52" s="52"/>
      <c r="S52" s="100"/>
      <c r="T52" s="100"/>
      <c r="U52" s="165"/>
    </row>
    <row r="53" spans="1:21" s="94" customFormat="1" ht="12.75" customHeight="1" thickBot="1" x14ac:dyDescent="0.25">
      <c r="C53" s="117" t="s">
        <v>68</v>
      </c>
      <c r="D53" s="52"/>
      <c r="E53" s="118">
        <f>+E51+E52</f>
        <v>5837877.0200000005</v>
      </c>
      <c r="F53" s="118">
        <f t="shared" ref="F53:P53" si="10">+F51+F52</f>
        <v>35488628.960000008</v>
      </c>
      <c r="G53" s="118">
        <f t="shared" si="10"/>
        <v>316389624.89999998</v>
      </c>
      <c r="H53" s="118">
        <f t="shared" si="10"/>
        <v>540894257.5</v>
      </c>
      <c r="I53" s="118">
        <f t="shared" si="10"/>
        <v>840502765.49000001</v>
      </c>
      <c r="J53" s="118">
        <f t="shared" si="10"/>
        <v>944830650.18000007</v>
      </c>
      <c r="K53" s="118">
        <f t="shared" si="10"/>
        <v>1010557384.2900001</v>
      </c>
      <c r="L53" s="118">
        <f t="shared" si="10"/>
        <v>1010557384.2900001</v>
      </c>
      <c r="M53" s="118">
        <f t="shared" si="10"/>
        <v>1010557384.2900001</v>
      </c>
      <c r="N53" s="118">
        <f t="shared" si="10"/>
        <v>1010557384.2900001</v>
      </c>
      <c r="O53" s="118">
        <f t="shared" si="10"/>
        <v>1010557384.2900001</v>
      </c>
      <c r="P53" s="118">
        <f t="shared" si="10"/>
        <v>1010557384.2900001</v>
      </c>
      <c r="Q53" s="52"/>
      <c r="R53" s="52"/>
      <c r="S53" s="100"/>
      <c r="T53" s="100"/>
      <c r="U53" s="165"/>
    </row>
    <row r="54" spans="1:21" s="94" customFormat="1" ht="12.75" customHeight="1" x14ac:dyDescent="0.2">
      <c r="C54" s="119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100"/>
      <c r="T54" s="100"/>
      <c r="U54" s="165"/>
    </row>
    <row r="55" spans="1:21" ht="38.25" x14ac:dyDescent="0.2">
      <c r="A55" s="100"/>
      <c r="B55" s="145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$801,934,155  Actual: $755,891,244  94.26%
(STATE)  Budgeted: $503,709,795  Actual: $254,666,141   50.56%
TOTAL Budgeted: $1,305,643,950  Actual: $1,010,557,384   77.40%</v>
      </c>
      <c r="C55" s="145"/>
      <c r="D55" s="145"/>
      <c r="E55" s="145"/>
      <c r="F55" s="145"/>
      <c r="G55" s="145"/>
      <c r="H55" s="145"/>
      <c r="I55" s="145"/>
      <c r="J55" s="145"/>
      <c r="K55" s="145"/>
      <c r="Q55" s="52"/>
      <c r="R55" s="146" t="s">
        <v>83</v>
      </c>
      <c r="T55" s="144"/>
      <c r="U55" s="144"/>
    </row>
    <row r="56" spans="1:21" x14ac:dyDescent="0.2">
      <c r="B56" s="153" t="str">
        <f>"(STATE)" &amp; CHAR(9) &amp; "Budgeted: " &amp; TEXT(B47,"$#,##0") &amp; CHAR(9) &amp; "Actual: " &amp; TEXT(C47,"$#,##0") &amp; "   " &amp; TEXT(D47,"###.00%")</f>
        <v>(STATE)	Budgeted: $503,709,795	Actual: $254,666,141   50.56%</v>
      </c>
      <c r="C56" s="153"/>
      <c r="D56" s="153"/>
      <c r="E56" s="153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132"/>
    </row>
    <row r="57" spans="1:21" x14ac:dyDescent="0.2">
      <c r="B57" s="153" t="str">
        <f>"TOTAL Budgeted: " &amp; TEXT(B48,"$#,##0") &amp; CHAR(9) &amp; "Actual: " &amp; TEXT(C48,"$#,##0") &amp; "   " &amp; TEXT(D48,"###.00%")</f>
        <v>TOTAL Budgeted: $1,305,643,950	Actual: $1,010,557,384   77.40%</v>
      </c>
      <c r="C57" s="153"/>
      <c r="D57" s="153"/>
      <c r="E57" s="153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1"/>
    </row>
    <row r="58" spans="1:21" x14ac:dyDescent="0.2">
      <c r="B58" s="120"/>
      <c r="C58" s="12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1"/>
    </row>
    <row r="59" spans="1:21" ht="13.5" thickBot="1" x14ac:dyDescent="0.25">
      <c r="B59" s="51"/>
      <c r="C59" s="100"/>
      <c r="E59" s="51"/>
      <c r="L59" s="52"/>
      <c r="M59" s="52"/>
      <c r="N59" s="52"/>
      <c r="O59" s="52"/>
      <c r="P59" s="52"/>
      <c r="Q59" s="52"/>
    </row>
    <row r="60" spans="1:21" s="100" customFormat="1" ht="26.25" thickBot="1" x14ac:dyDescent="0.25">
      <c r="A60" s="122" t="s">
        <v>36</v>
      </c>
      <c r="B60" s="123" t="s">
        <v>37</v>
      </c>
      <c r="P60" s="52"/>
      <c r="Q60" s="52"/>
      <c r="R60" s="52"/>
    </row>
    <row r="61" spans="1:21" s="100" customFormat="1" x14ac:dyDescent="0.2">
      <c r="A61" s="124" t="s">
        <v>8</v>
      </c>
      <c r="B61" s="125">
        <v>800395899.48000002</v>
      </c>
      <c r="C61" s="51"/>
      <c r="N61" s="126"/>
      <c r="O61" s="52"/>
      <c r="P61" s="52"/>
      <c r="Q61" s="52"/>
      <c r="R61" s="52"/>
    </row>
    <row r="62" spans="1:21" x14ac:dyDescent="0.2">
      <c r="A62" s="124" t="s">
        <v>9</v>
      </c>
      <c r="B62" s="125">
        <v>90000</v>
      </c>
      <c r="C62" s="51"/>
      <c r="E62" s="51"/>
      <c r="G62" s="100"/>
      <c r="I62" s="100"/>
      <c r="J62" s="100"/>
      <c r="K62" s="100"/>
      <c r="L62" s="100"/>
      <c r="M62" s="52"/>
      <c r="N62" s="126"/>
      <c r="O62" s="127"/>
      <c r="P62" s="52"/>
      <c r="Q62" s="52"/>
    </row>
    <row r="63" spans="1:21" x14ac:dyDescent="0.2">
      <c r="A63" s="124" t="s">
        <v>10</v>
      </c>
      <c r="B63" s="125">
        <v>503709794.62</v>
      </c>
      <c r="C63" s="51"/>
      <c r="E63" s="51"/>
      <c r="G63" s="100"/>
      <c r="I63" s="100"/>
      <c r="J63" s="100"/>
      <c r="K63" s="100"/>
      <c r="L63" s="100"/>
      <c r="M63" s="52"/>
      <c r="N63" s="126"/>
      <c r="O63" s="127"/>
      <c r="P63" s="52"/>
      <c r="Q63" s="52"/>
    </row>
    <row r="64" spans="1:21" ht="13.5" thickBot="1" x14ac:dyDescent="0.25">
      <c r="A64" s="124" t="s">
        <v>11</v>
      </c>
      <c r="B64" s="125">
        <v>1448256</v>
      </c>
      <c r="C64" s="51"/>
      <c r="E64" s="51"/>
      <c r="G64" s="100"/>
      <c r="I64" s="100"/>
      <c r="J64" s="100"/>
      <c r="K64" s="100"/>
      <c r="L64" s="100"/>
      <c r="M64" s="52"/>
      <c r="N64" s="126"/>
      <c r="O64" s="127"/>
      <c r="P64" s="52"/>
      <c r="Q64" s="52"/>
    </row>
    <row r="65" spans="1:20" ht="13.5" thickBot="1" x14ac:dyDescent="0.25">
      <c r="A65" s="128" t="s">
        <v>69</v>
      </c>
      <c r="B65" s="129">
        <f>SUM(B61:B64)</f>
        <v>1305643950.0999999</v>
      </c>
      <c r="C65" s="100"/>
      <c r="D65" s="100"/>
      <c r="E65" s="51"/>
      <c r="G65" s="100"/>
      <c r="H65" s="51" t="str">
        <f xml:space="preserve"> CHAR(9)</f>
        <v xml:space="preserve">	</v>
      </c>
      <c r="I65" s="100"/>
      <c r="J65" s="100"/>
      <c r="K65" s="100"/>
      <c r="L65" s="100"/>
      <c r="M65" s="100"/>
      <c r="N65" s="52"/>
      <c r="O65" s="126"/>
      <c r="P65" s="127"/>
      <c r="Q65" s="52"/>
    </row>
    <row r="66" spans="1:20" x14ac:dyDescent="0.2">
      <c r="C66" s="100"/>
      <c r="D66" s="100"/>
      <c r="E66" s="51"/>
      <c r="G66" s="100"/>
      <c r="I66" s="100"/>
      <c r="J66" s="100"/>
      <c r="K66" s="100"/>
      <c r="L66" s="100"/>
      <c r="M66" s="52"/>
      <c r="N66" s="126"/>
      <c r="O66" s="127"/>
      <c r="P66" s="52"/>
      <c r="Q66" s="52"/>
    </row>
    <row r="67" spans="1:20" ht="13.5" thickBot="1" x14ac:dyDescent="0.25">
      <c r="C67" s="51"/>
      <c r="D67" s="100"/>
      <c r="E67" s="51"/>
      <c r="I67" s="100"/>
      <c r="J67" s="100"/>
      <c r="K67" s="100"/>
      <c r="L67" s="100"/>
      <c r="M67" s="100"/>
      <c r="N67" s="52"/>
      <c r="O67" s="126"/>
      <c r="P67" s="127"/>
      <c r="Q67" s="52"/>
    </row>
    <row r="68" spans="1:20" ht="26.25" thickBot="1" x14ac:dyDescent="0.25">
      <c r="B68" s="117" t="s">
        <v>71</v>
      </c>
      <c r="C68" s="130" t="s">
        <v>70</v>
      </c>
      <c r="D68" s="100"/>
      <c r="E68" s="51"/>
      <c r="G68" s="100"/>
      <c r="H68" s="100"/>
      <c r="I68" s="100"/>
      <c r="J68" s="100"/>
      <c r="K68" s="100"/>
      <c r="L68" s="100"/>
      <c r="M68" s="52"/>
      <c r="N68" s="126"/>
      <c r="O68" s="127"/>
      <c r="P68" s="52"/>
      <c r="Q68" s="52"/>
    </row>
    <row r="69" spans="1:20" x14ac:dyDescent="0.2">
      <c r="A69" s="100" t="s">
        <v>8</v>
      </c>
      <c r="B69" s="51">
        <v>800395899.48000002</v>
      </c>
      <c r="C69" s="51">
        <v>750211797.31999981</v>
      </c>
      <c r="D69" s="100"/>
      <c r="E69" s="51"/>
      <c r="G69" s="100"/>
      <c r="H69" s="100"/>
      <c r="I69" s="100"/>
      <c r="J69" s="100"/>
      <c r="K69" s="100"/>
      <c r="L69" s="100"/>
      <c r="M69" s="52"/>
      <c r="N69" s="126"/>
      <c r="O69" s="127"/>
      <c r="P69" s="52"/>
      <c r="Q69" s="52"/>
    </row>
    <row r="70" spans="1:20" x14ac:dyDescent="0.2">
      <c r="A70" s="100" t="s">
        <v>9</v>
      </c>
      <c r="B70" s="51">
        <v>90000</v>
      </c>
      <c r="C70" s="51">
        <v>5669697.0899999999</v>
      </c>
      <c r="D70" s="100"/>
      <c r="E70" s="51"/>
      <c r="G70" s="100"/>
      <c r="H70" s="100"/>
      <c r="I70" s="100"/>
      <c r="J70" s="100"/>
      <c r="K70" s="100"/>
      <c r="L70" s="100"/>
      <c r="M70" s="52"/>
      <c r="N70" s="126"/>
      <c r="O70" s="127"/>
      <c r="P70" s="52"/>
      <c r="Q70" s="52"/>
    </row>
    <row r="71" spans="1:20" x14ac:dyDescent="0.2">
      <c r="A71" s="100" t="s">
        <v>10</v>
      </c>
      <c r="B71" s="51">
        <v>503709794.62</v>
      </c>
      <c r="C71" s="51">
        <v>254666140.5</v>
      </c>
      <c r="D71" s="100"/>
      <c r="E71" s="51"/>
      <c r="G71" s="100"/>
      <c r="H71" s="100"/>
      <c r="I71" s="100"/>
      <c r="J71" s="100"/>
      <c r="K71" s="100"/>
      <c r="L71" s="100"/>
      <c r="M71" s="52"/>
      <c r="N71" s="126"/>
      <c r="O71" s="127"/>
      <c r="P71" s="52"/>
      <c r="Q71" s="52"/>
    </row>
    <row r="72" spans="1:20" x14ac:dyDescent="0.2">
      <c r="A72" s="100" t="s">
        <v>11</v>
      </c>
      <c r="B72" s="51">
        <v>1448256</v>
      </c>
      <c r="C72" s="51">
        <v>9749.380000000001</v>
      </c>
      <c r="D72" s="100"/>
      <c r="E72" s="51"/>
      <c r="H72" s="100"/>
      <c r="I72" s="100"/>
      <c r="J72" s="100"/>
      <c r="K72" s="100"/>
      <c r="L72" s="100"/>
      <c r="M72" s="52"/>
      <c r="N72" s="126"/>
      <c r="O72" s="127"/>
      <c r="P72" s="52"/>
      <c r="Q72" s="52"/>
    </row>
    <row r="73" spans="1:20" x14ac:dyDescent="0.2">
      <c r="B73" s="51"/>
      <c r="E73" s="51"/>
      <c r="H73" s="100"/>
      <c r="I73" s="100"/>
      <c r="J73" s="100"/>
      <c r="K73" s="100"/>
      <c r="L73" s="100"/>
      <c r="M73" s="52"/>
      <c r="N73" s="126"/>
      <c r="O73" s="127"/>
      <c r="P73" s="52"/>
      <c r="Q73" s="52"/>
    </row>
    <row r="74" spans="1:20" x14ac:dyDescent="0.2">
      <c r="B74" s="51"/>
      <c r="E74" s="51"/>
      <c r="P74" s="52"/>
      <c r="Q74" s="52"/>
    </row>
    <row r="75" spans="1:20" x14ac:dyDescent="0.2">
      <c r="B75" s="51"/>
      <c r="E75" s="51"/>
      <c r="P75" s="52"/>
      <c r="Q75" s="52"/>
    </row>
    <row r="76" spans="1:20" ht="12.75" customHeight="1" x14ac:dyDescent="0.2">
      <c r="C76" s="132"/>
      <c r="D76" s="13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S76" s="52"/>
      <c r="T76" s="52"/>
    </row>
    <row r="77" spans="1:20" x14ac:dyDescent="0.2">
      <c r="E77" s="51"/>
      <c r="P77" s="52"/>
      <c r="Q77" s="52"/>
    </row>
    <row r="78" spans="1:20" x14ac:dyDescent="0.2">
      <c r="E78" s="51"/>
      <c r="P78" s="52"/>
      <c r="Q78" s="52"/>
    </row>
    <row r="79" spans="1:20" x14ac:dyDescent="0.2">
      <c r="B79" s="51"/>
      <c r="E79" s="51"/>
      <c r="P79" s="52"/>
      <c r="Q79" s="52"/>
    </row>
    <row r="80" spans="1:20" x14ac:dyDescent="0.2">
      <c r="B80" s="51"/>
      <c r="E80" s="51"/>
      <c r="P80" s="52"/>
      <c r="Q80" s="52"/>
    </row>
    <row r="81" spans="5:17" x14ac:dyDescent="0.2">
      <c r="E81" s="51"/>
      <c r="P81" s="52"/>
      <c r="Q81" s="52"/>
    </row>
    <row r="82" spans="5:17" x14ac:dyDescent="0.2">
      <c r="E82" s="51"/>
      <c r="P82" s="52"/>
      <c r="Q82" s="52"/>
    </row>
    <row r="83" spans="5:17" x14ac:dyDescent="0.2">
      <c r="E83" s="51"/>
      <c r="P83" s="52"/>
      <c r="Q83" s="52"/>
    </row>
    <row r="84" spans="5:17" x14ac:dyDescent="0.2">
      <c r="E84" s="51"/>
      <c r="P84" s="52"/>
      <c r="Q84" s="52"/>
    </row>
    <row r="85" spans="5:17" x14ac:dyDescent="0.2">
      <c r="E85" s="51"/>
      <c r="Q85" s="52"/>
    </row>
    <row r="86" spans="5:17" x14ac:dyDescent="0.2">
      <c r="E86" s="51"/>
      <c r="Q86" s="52"/>
    </row>
    <row r="87" spans="5:17" x14ac:dyDescent="0.2">
      <c r="E87" s="51"/>
      <c r="Q87" s="52"/>
    </row>
    <row r="88" spans="5:17" x14ac:dyDescent="0.2">
      <c r="E88" s="51"/>
      <c r="Q88" s="52"/>
    </row>
    <row r="89" spans="5:17" x14ac:dyDescent="0.2">
      <c r="E89" s="51"/>
      <c r="Q89" s="52"/>
    </row>
    <row r="90" spans="5:17" x14ac:dyDescent="0.2">
      <c r="E90" s="51"/>
      <c r="Q90" s="52"/>
    </row>
    <row r="91" spans="5:17" x14ac:dyDescent="0.2">
      <c r="E91" s="51"/>
      <c r="Q91" s="52"/>
    </row>
    <row r="92" spans="5:17" x14ac:dyDescent="0.2">
      <c r="E92" s="51"/>
      <c r="Q92" s="52"/>
    </row>
    <row r="93" spans="5:17" x14ac:dyDescent="0.2">
      <c r="E93" s="51"/>
      <c r="Q93" s="52"/>
    </row>
    <row r="94" spans="5:17" x14ac:dyDescent="0.2">
      <c r="E94" s="51"/>
      <c r="Q94" s="52"/>
    </row>
    <row r="95" spans="5:17" x14ac:dyDescent="0.2">
      <c r="E95" s="51"/>
      <c r="Q95" s="52"/>
    </row>
    <row r="96" spans="5:17" x14ac:dyDescent="0.2">
      <c r="E96" s="51"/>
      <c r="Q96" s="52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8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140625" style="31" bestFit="1" customWidth="1"/>
    <col min="4" max="4" width="13.42578125" style="31" bestFit="1" customWidth="1"/>
    <col min="5" max="5" width="14.28515625" style="31" bestFit="1" customWidth="1"/>
    <col min="6" max="6" width="16.85546875" style="31" customWidth="1"/>
    <col min="7" max="7" width="14.28515625" style="31" bestFit="1" customWidth="1"/>
    <col min="8" max="8" width="13.5703125" style="31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8" bestFit="1" customWidth="1"/>
    <col min="14" max="15" width="14.140625" style="138" customWidth="1"/>
    <col min="16" max="16" width="13.7109375" style="138" customWidth="1"/>
    <col min="17" max="16384" width="9.140625" style="1"/>
  </cols>
  <sheetData>
    <row r="1" spans="1:16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16" ht="18.75" x14ac:dyDescent="0.3">
      <c r="A2" s="151" t="s">
        <v>73</v>
      </c>
      <c r="B2" s="151"/>
      <c r="C2" s="151"/>
      <c r="D2" s="151"/>
      <c r="E2" s="151"/>
      <c r="F2" s="151"/>
      <c r="G2" s="151"/>
      <c r="H2" s="151"/>
      <c r="I2" s="151"/>
    </row>
    <row r="3" spans="1:16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16" x14ac:dyDescent="0.25">
      <c r="A4" s="152">
        <v>44957</v>
      </c>
      <c r="B4" s="152"/>
      <c r="C4" s="152"/>
      <c r="D4" s="152"/>
      <c r="E4" s="152"/>
      <c r="F4" s="152"/>
      <c r="G4" s="152"/>
      <c r="H4" s="152"/>
      <c r="I4" s="152"/>
    </row>
    <row r="5" spans="1:16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16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16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</row>
    <row r="8" spans="1:16" s="5" customFormat="1" x14ac:dyDescent="0.2">
      <c r="A8" s="6" t="s">
        <v>8</v>
      </c>
      <c r="B8" s="7">
        <v>30993942.549999997</v>
      </c>
      <c r="C8" s="7">
        <v>31363942.549999997</v>
      </c>
      <c r="D8" s="7">
        <v>2816136.79</v>
      </c>
      <c r="E8" s="7">
        <v>18251012.5</v>
      </c>
      <c r="F8" s="7">
        <v>0</v>
      </c>
      <c r="G8" s="7">
        <f t="shared" ref="G8:G12" si="0">SUM(E8:F8)</f>
        <v>18251012.5</v>
      </c>
      <c r="H8" s="7">
        <f t="shared" ref="H8:H12" si="1">C8-G8</f>
        <v>13112930.049999997</v>
      </c>
      <c r="I8" s="17">
        <f>IF(C8=0,"",H8/C8)</f>
        <v>0.41808934030202138</v>
      </c>
      <c r="K8"/>
      <c r="L8" s="149"/>
      <c r="M8" s="149"/>
      <c r="N8" s="149"/>
      <c r="O8" s="149"/>
      <c r="P8" s="149"/>
    </row>
    <row r="9" spans="1:16" s="5" customFormat="1" x14ac:dyDescent="0.2">
      <c r="A9" s="6" t="s">
        <v>9</v>
      </c>
      <c r="B9" s="7">
        <v>0</v>
      </c>
      <c r="C9" s="7">
        <v>0</v>
      </c>
      <c r="D9" s="7">
        <v>1029.17</v>
      </c>
      <c r="E9" s="7">
        <v>4971.7700000000004</v>
      </c>
      <c r="F9" s="7">
        <v>0</v>
      </c>
      <c r="G9" s="7">
        <f t="shared" si="0"/>
        <v>4971.7700000000004</v>
      </c>
      <c r="H9" s="7">
        <f t="shared" si="1"/>
        <v>-4971.7700000000004</v>
      </c>
      <c r="I9" s="17" t="str">
        <f t="shared" ref="I9:I12" si="2">IF(C9=0,"",H9/C9)</f>
        <v/>
      </c>
      <c r="K9"/>
      <c r="L9" s="149"/>
      <c r="M9" s="149"/>
      <c r="N9" s="149"/>
      <c r="O9" s="149"/>
      <c r="P9" s="149"/>
    </row>
    <row r="10" spans="1:16" s="5" customFormat="1" x14ac:dyDescent="0.2">
      <c r="A10" s="6" t="s">
        <v>10</v>
      </c>
      <c r="B10" s="7">
        <v>15490840.710000001</v>
      </c>
      <c r="C10" s="7">
        <v>15250906.710000001</v>
      </c>
      <c r="D10" s="7">
        <v>1242928.94</v>
      </c>
      <c r="E10" s="7">
        <v>8425858.9399999995</v>
      </c>
      <c r="F10" s="7">
        <v>0</v>
      </c>
      <c r="G10" s="7">
        <f t="shared" si="0"/>
        <v>8425858.9399999995</v>
      </c>
      <c r="H10" s="7">
        <f t="shared" si="1"/>
        <v>6825047.7700000014</v>
      </c>
      <c r="I10" s="17">
        <f t="shared" si="2"/>
        <v>0.4475175082885286</v>
      </c>
      <c r="K10"/>
      <c r="L10" s="149"/>
      <c r="M10" s="149"/>
      <c r="N10" s="149"/>
      <c r="O10" s="149"/>
      <c r="P10" s="149"/>
    </row>
    <row r="11" spans="1:16" s="5" customFormat="1" x14ac:dyDescent="0.2">
      <c r="A11" s="6" t="s">
        <v>30</v>
      </c>
      <c r="B11" s="7">
        <v>428232611.45999998</v>
      </c>
      <c r="C11" s="7">
        <v>604623997.40999997</v>
      </c>
      <c r="D11" s="7">
        <v>2770566.9699999997</v>
      </c>
      <c r="E11" s="7">
        <v>89076718.420000002</v>
      </c>
      <c r="F11" s="7">
        <v>0</v>
      </c>
      <c r="G11" s="7">
        <f t="shared" si="0"/>
        <v>89076718.420000002</v>
      </c>
      <c r="H11" s="7">
        <f t="shared" si="1"/>
        <v>515547278.98999995</v>
      </c>
      <c r="I11" s="17">
        <f t="shared" si="2"/>
        <v>0.85267419288421586</v>
      </c>
      <c r="K11"/>
      <c r="L11" s="149"/>
      <c r="M11" s="149"/>
      <c r="N11" s="149"/>
      <c r="O11" s="149"/>
      <c r="P11" s="149"/>
    </row>
    <row r="12" spans="1:16" s="5" customFormat="1" x14ac:dyDescent="0.2">
      <c r="A12" s="8" t="s">
        <v>11</v>
      </c>
      <c r="B12" s="7">
        <v>4445423</v>
      </c>
      <c r="C12" s="7">
        <v>4446128</v>
      </c>
      <c r="D12" s="7">
        <v>60262.17</v>
      </c>
      <c r="E12" s="7">
        <v>290562.75</v>
      </c>
      <c r="F12" s="7">
        <v>0</v>
      </c>
      <c r="G12" s="7">
        <f t="shared" si="0"/>
        <v>290562.75</v>
      </c>
      <c r="H12" s="7">
        <f t="shared" si="1"/>
        <v>4155565.25</v>
      </c>
      <c r="I12" s="17">
        <f t="shared" si="2"/>
        <v>0.93464813653588019</v>
      </c>
      <c r="K12"/>
      <c r="L12" s="149"/>
      <c r="M12" s="149"/>
      <c r="N12" s="149"/>
      <c r="O12" s="149"/>
      <c r="P12" s="149"/>
    </row>
    <row r="13" spans="1:16" s="5" customFormat="1" ht="24.95" customHeight="1" x14ac:dyDescent="0.2">
      <c r="A13" s="10" t="s">
        <v>12</v>
      </c>
      <c r="B13" s="11">
        <f>SUM(B8:B12)</f>
        <v>479162817.71999997</v>
      </c>
      <c r="C13" s="11">
        <f t="shared" ref="C13:H13" si="3">SUM(C8:C12)</f>
        <v>655684974.66999996</v>
      </c>
      <c r="D13" s="11">
        <f t="shared" si="3"/>
        <v>6890924.0399999991</v>
      </c>
      <c r="E13" s="11">
        <f t="shared" si="3"/>
        <v>116049124.38</v>
      </c>
      <c r="F13" s="11">
        <f t="shared" si="3"/>
        <v>0</v>
      </c>
      <c r="G13" s="11">
        <f t="shared" si="3"/>
        <v>116049124.38</v>
      </c>
      <c r="H13" s="11">
        <f t="shared" si="3"/>
        <v>539635850.28999996</v>
      </c>
      <c r="I13" s="12">
        <f>IF(C13=0,"",H13/C13)</f>
        <v>0.82301085298102727</v>
      </c>
      <c r="L13" s="139"/>
      <c r="M13" s="139"/>
      <c r="N13" s="139"/>
      <c r="O13" s="139"/>
      <c r="P13" s="139"/>
    </row>
    <row r="14" spans="1:16" s="5" customFormat="1" x14ac:dyDescent="0.2">
      <c r="A14" s="13" t="s">
        <v>13</v>
      </c>
      <c r="B14" s="14">
        <v>122137371.85000002</v>
      </c>
      <c r="C14" s="14">
        <v>241762038.13999993</v>
      </c>
      <c r="D14" s="14">
        <v>4958148.0400000066</v>
      </c>
      <c r="E14" s="14">
        <v>28814646.940000091</v>
      </c>
      <c r="F14" s="14">
        <v>5413995.1900000004</v>
      </c>
      <c r="G14" s="14">
        <f t="shared" ref="G14:G31" si="4">SUM(E14:F14)</f>
        <v>34228642.130000092</v>
      </c>
      <c r="H14" s="14">
        <f t="shared" ref="H14:H31" si="5">C14-G14</f>
        <v>207533396.00999984</v>
      </c>
      <c r="I14" s="27">
        <f t="shared" ref="I14:I31" si="6">IF(C14=0,"",H14/C14)</f>
        <v>0.85842011263083862</v>
      </c>
      <c r="L14" s="139"/>
      <c r="M14" s="139"/>
      <c r="N14" s="139"/>
      <c r="O14" s="139"/>
      <c r="P14" s="139"/>
    </row>
    <row r="15" spans="1:16" s="5" customFormat="1" x14ac:dyDescent="0.2">
      <c r="A15" s="6" t="s">
        <v>14</v>
      </c>
      <c r="B15" s="7">
        <v>46443789.239999995</v>
      </c>
      <c r="C15" s="7">
        <v>26999384.169999994</v>
      </c>
      <c r="D15" s="7">
        <v>2094046.3800000018</v>
      </c>
      <c r="E15" s="7">
        <v>10665979.770000003</v>
      </c>
      <c r="F15" s="7">
        <v>1856434.4199999995</v>
      </c>
      <c r="G15" s="7">
        <f t="shared" si="4"/>
        <v>12522414.190000003</v>
      </c>
      <c r="H15" s="7">
        <f t="shared" si="5"/>
        <v>14476969.979999991</v>
      </c>
      <c r="I15" s="17">
        <f t="shared" si="6"/>
        <v>0.53619630317664368</v>
      </c>
      <c r="L15" s="139"/>
      <c r="M15" s="139"/>
      <c r="N15" s="139"/>
      <c r="O15" s="139"/>
      <c r="P15" s="139"/>
    </row>
    <row r="16" spans="1:16" s="5" customFormat="1" x14ac:dyDescent="0.2">
      <c r="A16" s="6" t="s">
        <v>15</v>
      </c>
      <c r="B16" s="7">
        <v>28698630.420000002</v>
      </c>
      <c r="C16" s="7">
        <v>4375395.7599999988</v>
      </c>
      <c r="D16" s="7">
        <v>190283.77</v>
      </c>
      <c r="E16" s="7">
        <v>2321190.7600000007</v>
      </c>
      <c r="F16" s="7">
        <v>432557.29000000015</v>
      </c>
      <c r="G16" s="7">
        <f t="shared" si="4"/>
        <v>2753748.0500000007</v>
      </c>
      <c r="H16" s="7">
        <f t="shared" si="5"/>
        <v>1621647.7099999981</v>
      </c>
      <c r="I16" s="17">
        <f t="shared" si="6"/>
        <v>0.37062880684420613</v>
      </c>
      <c r="L16" s="139"/>
      <c r="M16" s="139"/>
      <c r="N16" s="139"/>
      <c r="O16" s="139"/>
      <c r="P16" s="139"/>
    </row>
    <row r="17" spans="1:16" s="5" customFormat="1" x14ac:dyDescent="0.2">
      <c r="A17" s="6" t="s">
        <v>16</v>
      </c>
      <c r="B17" s="7">
        <v>47260664.820000023</v>
      </c>
      <c r="C17" s="7">
        <v>51971660.250000007</v>
      </c>
      <c r="D17" s="7">
        <v>1776090.010000003</v>
      </c>
      <c r="E17" s="7">
        <v>10939723.350000003</v>
      </c>
      <c r="F17" s="7">
        <v>438573.45</v>
      </c>
      <c r="G17" s="7">
        <f t="shared" si="4"/>
        <v>11378296.800000003</v>
      </c>
      <c r="H17" s="7">
        <f t="shared" si="5"/>
        <v>40593363.450000003</v>
      </c>
      <c r="I17" s="17">
        <f t="shared" si="6"/>
        <v>0.78106728272164438</v>
      </c>
      <c r="L17" s="139"/>
      <c r="M17" s="139"/>
      <c r="N17" s="139"/>
      <c r="O17" s="139"/>
      <c r="P17" s="139"/>
    </row>
    <row r="18" spans="1:16" s="5" customFormat="1" x14ac:dyDescent="0.2">
      <c r="A18" s="6" t="s">
        <v>17</v>
      </c>
      <c r="B18" s="7">
        <v>2893575</v>
      </c>
      <c r="C18" s="7">
        <v>6046882</v>
      </c>
      <c r="D18" s="7">
        <v>3125.71</v>
      </c>
      <c r="E18" s="7">
        <v>28173.110000000004</v>
      </c>
      <c r="F18" s="7">
        <v>6875.79</v>
      </c>
      <c r="G18" s="7">
        <f t="shared" si="4"/>
        <v>35048.9</v>
      </c>
      <c r="H18" s="7">
        <f t="shared" si="5"/>
        <v>6011833.0999999996</v>
      </c>
      <c r="I18" s="17">
        <f t="shared" si="6"/>
        <v>0.99420380619300985</v>
      </c>
      <c r="L18" s="139"/>
      <c r="M18" s="139"/>
      <c r="N18" s="139"/>
      <c r="O18" s="139"/>
      <c r="P18" s="139"/>
    </row>
    <row r="19" spans="1:16" s="5" customFormat="1" x14ac:dyDescent="0.2">
      <c r="A19" s="6" t="s">
        <v>32</v>
      </c>
      <c r="B19" s="7">
        <v>-1318792.94</v>
      </c>
      <c r="C19" s="7">
        <v>8534549.0999999996</v>
      </c>
      <c r="D19" s="7">
        <v>322960.27999999997</v>
      </c>
      <c r="E19" s="7">
        <v>2512459.1300000008</v>
      </c>
      <c r="F19" s="7">
        <v>94505.900000000009</v>
      </c>
      <c r="G19" s="7">
        <f>SUM(E19:F19)</f>
        <v>2606965.0300000007</v>
      </c>
      <c r="H19" s="7">
        <f>C19-G19</f>
        <v>5927584.0699999984</v>
      </c>
      <c r="I19" s="17">
        <f>IF(C19=0,"",H19/C19)</f>
        <v>0.69453980527219639</v>
      </c>
      <c r="L19" s="139"/>
      <c r="M19" s="139"/>
      <c r="N19" s="139"/>
      <c r="O19" s="139"/>
      <c r="P19" s="139"/>
    </row>
    <row r="20" spans="1:16" s="5" customFormat="1" x14ac:dyDescent="0.2">
      <c r="A20" s="6" t="s">
        <v>18</v>
      </c>
      <c r="B20" s="7">
        <v>52410582.200000003</v>
      </c>
      <c r="C20" s="7">
        <v>74975423.939999998</v>
      </c>
      <c r="D20" s="7">
        <v>99622.76999999999</v>
      </c>
      <c r="E20" s="7">
        <v>758530.87</v>
      </c>
      <c r="F20" s="7">
        <v>4180.6399999999994</v>
      </c>
      <c r="G20" s="7">
        <f t="shared" si="4"/>
        <v>762711.51</v>
      </c>
      <c r="H20" s="7">
        <f t="shared" si="5"/>
        <v>74212712.429999992</v>
      </c>
      <c r="I20" s="17">
        <f t="shared" si="6"/>
        <v>0.98982717976212609</v>
      </c>
      <c r="L20" s="139"/>
      <c r="M20" s="139"/>
      <c r="N20" s="139"/>
      <c r="O20" s="139"/>
      <c r="P20" s="139"/>
    </row>
    <row r="21" spans="1:16" s="5" customFormat="1" x14ac:dyDescent="0.2">
      <c r="A21" s="6" t="s">
        <v>19</v>
      </c>
      <c r="B21" s="7">
        <v>28031712.98</v>
      </c>
      <c r="C21" s="7">
        <v>3811972.27</v>
      </c>
      <c r="D21" s="7">
        <v>37655.240000000005</v>
      </c>
      <c r="E21" s="7">
        <v>184724.62999999998</v>
      </c>
      <c r="F21" s="7">
        <v>0</v>
      </c>
      <c r="G21" s="7">
        <f t="shared" si="4"/>
        <v>184724.62999999998</v>
      </c>
      <c r="H21" s="7">
        <f t="shared" si="5"/>
        <v>3627247.64</v>
      </c>
      <c r="I21" s="17">
        <f t="shared" si="6"/>
        <v>0.95154093028069175</v>
      </c>
      <c r="L21" s="139"/>
      <c r="M21" s="139"/>
      <c r="N21" s="139"/>
      <c r="O21" s="139"/>
      <c r="P21" s="139"/>
    </row>
    <row r="22" spans="1:16" s="5" customFormat="1" x14ac:dyDescent="0.2">
      <c r="A22" s="6" t="s">
        <v>20</v>
      </c>
      <c r="B22" s="7">
        <v>26255441.91</v>
      </c>
      <c r="C22" s="7">
        <v>302796.91000000003</v>
      </c>
      <c r="D22" s="7">
        <v>6655.7699999999995</v>
      </c>
      <c r="E22" s="7">
        <v>167143.28999999998</v>
      </c>
      <c r="F22" s="7">
        <v>1024.4000000000001</v>
      </c>
      <c r="G22" s="7">
        <f t="shared" si="4"/>
        <v>168167.68999999997</v>
      </c>
      <c r="H22" s="7">
        <f t="shared" si="5"/>
        <v>134629.22000000006</v>
      </c>
      <c r="I22" s="17">
        <f t="shared" si="6"/>
        <v>0.44461887011990991</v>
      </c>
      <c r="L22" s="139"/>
      <c r="M22" s="139"/>
      <c r="N22" s="139"/>
      <c r="O22" s="139"/>
      <c r="P22" s="139"/>
    </row>
    <row r="23" spans="1:16" s="5" customFormat="1" x14ac:dyDescent="0.2">
      <c r="A23" s="6" t="s">
        <v>21</v>
      </c>
      <c r="B23" s="7">
        <v>75198741.920000002</v>
      </c>
      <c r="C23" s="7">
        <v>63066781.070000008</v>
      </c>
      <c r="D23" s="7">
        <v>103694.67</v>
      </c>
      <c r="E23" s="7">
        <v>569697.78</v>
      </c>
      <c r="F23" s="7">
        <v>3371591.0099999984</v>
      </c>
      <c r="G23" s="7">
        <f t="shared" si="4"/>
        <v>3941288.7899999982</v>
      </c>
      <c r="H23" s="7">
        <f t="shared" si="5"/>
        <v>59125492.280000009</v>
      </c>
      <c r="I23" s="17">
        <f t="shared" si="6"/>
        <v>0.93750610506622456</v>
      </c>
      <c r="L23" s="139"/>
      <c r="M23" s="139"/>
      <c r="N23" s="139"/>
      <c r="O23" s="139"/>
      <c r="P23" s="139"/>
    </row>
    <row r="24" spans="1:16" s="5" customFormat="1" x14ac:dyDescent="0.2">
      <c r="A24" s="6" t="s">
        <v>22</v>
      </c>
      <c r="B24" s="7">
        <v>27650785.010000002</v>
      </c>
      <c r="C24" s="7">
        <v>3401630</v>
      </c>
      <c r="D24" s="7">
        <v>0</v>
      </c>
      <c r="E24" s="7">
        <v>324719.63</v>
      </c>
      <c r="F24" s="7">
        <v>2921.7</v>
      </c>
      <c r="G24" s="7">
        <f t="shared" si="4"/>
        <v>327641.33</v>
      </c>
      <c r="H24" s="7">
        <f t="shared" si="5"/>
        <v>3073988.67</v>
      </c>
      <c r="I24" s="17">
        <f t="shared" si="6"/>
        <v>0.90368107936489273</v>
      </c>
      <c r="L24" s="139"/>
      <c r="M24" s="139"/>
      <c r="N24" s="139"/>
      <c r="O24" s="139"/>
      <c r="P24" s="139"/>
    </row>
    <row r="25" spans="1:16" s="5" customFormat="1" x14ac:dyDescent="0.2">
      <c r="A25" s="6" t="s">
        <v>23</v>
      </c>
      <c r="B25" s="7">
        <v>80846623.390000001</v>
      </c>
      <c r="C25" s="7">
        <v>4146217.08</v>
      </c>
      <c r="D25" s="7">
        <v>1168063.1299999999</v>
      </c>
      <c r="E25" s="7">
        <v>3794957.6</v>
      </c>
      <c r="F25" s="7">
        <v>295459.24999999994</v>
      </c>
      <c r="G25" s="7">
        <f t="shared" si="4"/>
        <v>4090416.85</v>
      </c>
      <c r="H25" s="7">
        <f t="shared" si="5"/>
        <v>55800.229999999981</v>
      </c>
      <c r="I25" s="17">
        <f t="shared" si="6"/>
        <v>1.3458106250432981E-2</v>
      </c>
      <c r="L25" s="139"/>
      <c r="M25" s="139"/>
      <c r="N25" s="139"/>
      <c r="O25" s="139"/>
      <c r="P25" s="139"/>
    </row>
    <row r="26" spans="1:16" s="5" customFormat="1" x14ac:dyDescent="0.2">
      <c r="A26" s="6" t="s">
        <v>24</v>
      </c>
      <c r="B26" s="7">
        <v>667088.79999999993</v>
      </c>
      <c r="C26" s="7">
        <v>2279440</v>
      </c>
      <c r="D26" s="7">
        <v>14212.370000000003</v>
      </c>
      <c r="E26" s="7">
        <v>105575.80000000002</v>
      </c>
      <c r="F26" s="7">
        <v>2955</v>
      </c>
      <c r="G26" s="7">
        <f t="shared" si="4"/>
        <v>108530.80000000002</v>
      </c>
      <c r="H26" s="7">
        <f t="shared" si="5"/>
        <v>2170909.2000000002</v>
      </c>
      <c r="I26" s="17">
        <f t="shared" si="6"/>
        <v>0.95238707752781393</v>
      </c>
      <c r="L26" s="139"/>
      <c r="M26" s="139"/>
      <c r="N26" s="139"/>
      <c r="O26" s="139"/>
      <c r="P26" s="139"/>
    </row>
    <row r="27" spans="1:16" s="5" customFormat="1" x14ac:dyDescent="0.2">
      <c r="A27" s="6" t="s">
        <v>31</v>
      </c>
      <c r="B27" s="7">
        <v>53747141</v>
      </c>
      <c r="C27" s="7">
        <v>22075910.07</v>
      </c>
      <c r="D27" s="7">
        <v>10000</v>
      </c>
      <c r="E27" s="7">
        <v>2102330.66</v>
      </c>
      <c r="F27" s="7">
        <v>0</v>
      </c>
      <c r="G27" s="7">
        <f t="shared" si="4"/>
        <v>2102330.66</v>
      </c>
      <c r="H27" s="7">
        <f t="shared" si="5"/>
        <v>19973579.41</v>
      </c>
      <c r="I27" s="17">
        <f t="shared" si="6"/>
        <v>0.90476810906849281</v>
      </c>
      <c r="L27" s="139"/>
      <c r="M27" s="139"/>
      <c r="N27" s="139"/>
      <c r="O27" s="139"/>
      <c r="P27" s="139"/>
    </row>
    <row r="28" spans="1:16" s="5" customFormat="1" x14ac:dyDescent="0.2">
      <c r="A28" s="6" t="s">
        <v>33</v>
      </c>
      <c r="B28" s="7">
        <v>2025395.28</v>
      </c>
      <c r="C28" s="7">
        <v>2025395.28</v>
      </c>
      <c r="D28" s="7">
        <v>274335.58</v>
      </c>
      <c r="E28" s="7">
        <v>1600911.96</v>
      </c>
      <c r="F28" s="7">
        <v>356599.55000000005</v>
      </c>
      <c r="G28" s="7">
        <f t="shared" si="4"/>
        <v>1957511.51</v>
      </c>
      <c r="H28" s="7">
        <f t="shared" si="5"/>
        <v>67883.770000000019</v>
      </c>
      <c r="I28" s="17">
        <f t="shared" si="6"/>
        <v>3.351630699958974E-2</v>
      </c>
      <c r="L28" s="139"/>
      <c r="M28" s="139"/>
      <c r="N28" s="139"/>
      <c r="O28" s="139"/>
      <c r="P28" s="139"/>
    </row>
    <row r="29" spans="1:16" s="5" customFormat="1" x14ac:dyDescent="0.2">
      <c r="A29" s="30" t="s">
        <v>39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0</v>
      </c>
      <c r="I29" s="17" t="str">
        <f t="shared" ref="I29" si="9">IF(C29=0,"",H29/C29)</f>
        <v/>
      </c>
    </row>
    <row r="30" spans="1:16" s="5" customFormat="1" x14ac:dyDescent="0.2">
      <c r="A30" s="30" t="s">
        <v>34</v>
      </c>
      <c r="B30" s="7">
        <v>158786775.40000001</v>
      </c>
      <c r="C30" s="7">
        <v>119999999.99999994</v>
      </c>
      <c r="D30" s="7">
        <v>367133.31</v>
      </c>
      <c r="E30" s="7">
        <v>911182.49</v>
      </c>
      <c r="F30" s="7">
        <v>2151980.5099999998</v>
      </c>
      <c r="G30" s="7">
        <f t="shared" ref="G30" si="10">SUM(E30:F30)</f>
        <v>3063163</v>
      </c>
      <c r="H30" s="7">
        <f t="shared" ref="H30" si="11">C30-G30</f>
        <v>116936836.99999994</v>
      </c>
      <c r="I30" s="17">
        <f t="shared" ref="I30" si="12">IF(C30=0,"",H30/C30)</f>
        <v>0.97447364166666661</v>
      </c>
      <c r="L30" s="139"/>
      <c r="M30" s="139"/>
      <c r="N30" s="139"/>
      <c r="O30" s="139"/>
      <c r="P30" s="139"/>
    </row>
    <row r="31" spans="1:16" s="5" customFormat="1" x14ac:dyDescent="0.2">
      <c r="A31" s="6" t="s">
        <v>26</v>
      </c>
      <c r="B31" s="7">
        <v>23086645.009999998</v>
      </c>
      <c r="C31" s="7">
        <v>23086645.009999998</v>
      </c>
      <c r="D31" s="7">
        <v>1731399.4399999997</v>
      </c>
      <c r="E31" s="7">
        <v>12114990.200000003</v>
      </c>
      <c r="F31" s="7">
        <v>0</v>
      </c>
      <c r="G31" s="7">
        <f t="shared" si="4"/>
        <v>12114990.200000003</v>
      </c>
      <c r="H31" s="7">
        <f t="shared" si="5"/>
        <v>10971654.809999995</v>
      </c>
      <c r="I31" s="17">
        <f t="shared" si="6"/>
        <v>0.47523816497579507</v>
      </c>
      <c r="L31" s="139"/>
      <c r="M31" s="139"/>
      <c r="N31" s="139"/>
      <c r="O31" s="139"/>
      <c r="P31" s="139"/>
    </row>
    <row r="32" spans="1:16" s="5" customFormat="1" x14ac:dyDescent="0.2">
      <c r="A32" s="10" t="s">
        <v>27</v>
      </c>
      <c r="B32" s="11">
        <f t="shared" ref="B32:H32" si="13">SUM(B14:B31)</f>
        <v>774822171.29000008</v>
      </c>
      <c r="C32" s="11">
        <f t="shared" si="13"/>
        <v>658862121.04999983</v>
      </c>
      <c r="D32" s="11">
        <f t="shared" si="13"/>
        <v>13157426.47000001</v>
      </c>
      <c r="E32" s="11">
        <f t="shared" si="13"/>
        <v>77916937.970000103</v>
      </c>
      <c r="F32" s="11">
        <f t="shared" si="13"/>
        <v>14429654.099999998</v>
      </c>
      <c r="G32" s="11">
        <f t="shared" si="13"/>
        <v>92346592.070000082</v>
      </c>
      <c r="H32" s="11">
        <f t="shared" si="13"/>
        <v>566515528.97999978</v>
      </c>
      <c r="I32" s="12">
        <f>IF(C32=0,"",H32/C32)</f>
        <v>0.85983927574583996</v>
      </c>
      <c r="L32" s="139"/>
      <c r="M32" s="139"/>
      <c r="N32" s="139"/>
      <c r="O32" s="139"/>
      <c r="P32" s="139"/>
    </row>
    <row r="33" spans="1:16" s="5" customFormat="1" x14ac:dyDescent="0.2">
      <c r="A33" s="13"/>
      <c r="B33" s="14"/>
      <c r="C33" s="14"/>
      <c r="D33" s="14"/>
      <c r="E33" s="14"/>
      <c r="F33" s="14"/>
      <c r="G33" s="14"/>
      <c r="H33" s="14"/>
      <c r="I33" s="16"/>
      <c r="L33" s="139"/>
      <c r="M33" s="139"/>
      <c r="N33" s="139"/>
      <c r="O33" s="139"/>
      <c r="P33" s="139"/>
    </row>
    <row r="34" spans="1:16" s="5" customFormat="1" x14ac:dyDescent="0.2">
      <c r="A34" s="6" t="s">
        <v>28</v>
      </c>
      <c r="B34" s="7">
        <f>B13-B32</f>
        <v>-295659353.57000011</v>
      </c>
      <c r="C34" s="7">
        <f>C13-C32</f>
        <v>-3177146.379999876</v>
      </c>
      <c r="D34" s="7">
        <f>D13-D32</f>
        <v>-6266502.4300000109</v>
      </c>
      <c r="E34" s="7">
        <f>E13-E32</f>
        <v>38132186.409999892</v>
      </c>
      <c r="F34" s="7"/>
      <c r="G34" s="7">
        <f>G13-G32</f>
        <v>23702532.309999913</v>
      </c>
      <c r="H34" s="7">
        <f>H13-H32</f>
        <v>-26879678.689999819</v>
      </c>
      <c r="I34" s="17"/>
      <c r="L34" s="139"/>
      <c r="M34" s="139"/>
      <c r="N34" s="139"/>
      <c r="O34" s="139"/>
      <c r="P34" s="139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5"/>
      <c r="L35" s="139"/>
      <c r="M35" s="139"/>
      <c r="N35" s="139"/>
      <c r="O35" s="139"/>
      <c r="P35" s="139"/>
    </row>
    <row r="36" spans="1:16" s="5" customFormat="1" x14ac:dyDescent="0.2">
      <c r="A36" s="19" t="s">
        <v>78</v>
      </c>
      <c r="B36" s="21"/>
      <c r="C36" s="21"/>
      <c r="D36" s="21"/>
      <c r="E36" s="21">
        <v>562660.17000000156</v>
      </c>
      <c r="F36" s="21"/>
      <c r="G36" s="21">
        <f>E36</f>
        <v>562660.17000000156</v>
      </c>
      <c r="H36" s="21"/>
      <c r="I36" s="22"/>
      <c r="L36" s="139"/>
      <c r="M36" s="139"/>
      <c r="N36" s="139"/>
      <c r="O36" s="139"/>
      <c r="P36" s="139"/>
    </row>
    <row r="37" spans="1:16" s="5" customFormat="1" ht="15.75" thickBot="1" x14ac:dyDescent="0.25">
      <c r="A37" s="23" t="s">
        <v>29</v>
      </c>
      <c r="B37" s="25"/>
      <c r="C37" s="25"/>
      <c r="D37" s="25"/>
      <c r="E37" s="25">
        <f>SUM(E34:E36)</f>
        <v>38694846.579999894</v>
      </c>
      <c r="F37" s="25"/>
      <c r="G37" s="25">
        <f>SUM(G34:G36)</f>
        <v>24265192.479999915</v>
      </c>
      <c r="H37" s="25"/>
      <c r="I37" s="26"/>
      <c r="L37" s="139"/>
      <c r="M37" s="139"/>
      <c r="N37" s="139"/>
      <c r="O37" s="139"/>
      <c r="P37" s="139"/>
    </row>
    <row r="38" spans="1:16" s="5" customFormat="1" x14ac:dyDescent="0.2">
      <c r="B38" s="34"/>
      <c r="C38" s="34"/>
      <c r="D38" s="34"/>
      <c r="E38" s="34"/>
      <c r="F38" s="34"/>
      <c r="G38" s="34"/>
      <c r="H38" s="34"/>
      <c r="L38" s="139"/>
      <c r="M38" s="139"/>
      <c r="N38" s="139"/>
      <c r="O38" s="139"/>
      <c r="P38" s="139"/>
    </row>
    <row r="39" spans="1:16" x14ac:dyDescent="0.25">
      <c r="I39" s="31"/>
      <c r="J39" s="138"/>
      <c r="K39" s="138"/>
      <c r="O39" s="1"/>
      <c r="P39" s="1"/>
    </row>
    <row r="40" spans="1:16" x14ac:dyDescent="0.25">
      <c r="B40" s="138"/>
      <c r="C40" s="138"/>
      <c r="D40" s="138"/>
      <c r="E40" s="138"/>
      <c r="F40" s="138"/>
      <c r="G40" s="1"/>
      <c r="H40" s="1"/>
      <c r="L40" s="1"/>
      <c r="M40" s="1"/>
      <c r="N40" s="1"/>
      <c r="O40" s="1"/>
      <c r="P40" s="1"/>
    </row>
    <row r="41" spans="1:16" x14ac:dyDescent="0.25">
      <c r="B41" s="138"/>
      <c r="C41" s="138"/>
      <c r="D41" s="138"/>
      <c r="E41" s="138"/>
      <c r="F41" s="138"/>
      <c r="G41" s="1"/>
      <c r="H41" s="1"/>
      <c r="L41" s="1"/>
      <c r="M41" s="1"/>
      <c r="N41" s="1"/>
      <c r="O41" s="1"/>
      <c r="P41" s="1"/>
    </row>
    <row r="42" spans="1:16" x14ac:dyDescent="0.25">
      <c r="B42" s="138"/>
      <c r="C42" s="138"/>
      <c r="D42" s="138"/>
      <c r="E42" s="138"/>
      <c r="F42" s="138"/>
      <c r="G42" s="1"/>
      <c r="H42" s="1"/>
      <c r="L42" s="1"/>
      <c r="M42" s="1"/>
      <c r="N42" s="1"/>
      <c r="O42" s="1"/>
      <c r="P42" s="1"/>
    </row>
    <row r="43" spans="1:16" x14ac:dyDescent="0.25">
      <c r="B43" s="138"/>
      <c r="C43" s="138"/>
      <c r="D43" s="138"/>
      <c r="E43" s="138"/>
      <c r="F43" s="138"/>
      <c r="G43" s="1"/>
      <c r="H43" s="1"/>
      <c r="L43" s="1"/>
      <c r="M43" s="1"/>
      <c r="N43" s="1"/>
      <c r="O43" s="1"/>
      <c r="P43" s="1"/>
    </row>
    <row r="44" spans="1:16" x14ac:dyDescent="0.25">
      <c r="B44" s="138"/>
      <c r="C44" s="138"/>
      <c r="D44" s="138"/>
      <c r="E44" s="138"/>
      <c r="F44" s="138"/>
      <c r="G44" s="1"/>
      <c r="H44" s="1"/>
      <c r="L44" s="1"/>
      <c r="M44" s="1"/>
      <c r="N44" s="1"/>
      <c r="O44" s="1"/>
      <c r="P44" s="1"/>
    </row>
    <row r="45" spans="1:16" x14ac:dyDescent="0.25">
      <c r="B45" s="138"/>
      <c r="C45" s="138"/>
      <c r="D45" s="138"/>
      <c r="E45" s="138"/>
      <c r="F45" s="138"/>
      <c r="G45" s="1"/>
      <c r="H45" s="1"/>
      <c r="L45" s="1"/>
      <c r="M45" s="1"/>
      <c r="N45" s="1"/>
      <c r="O45" s="1"/>
      <c r="P45" s="1"/>
    </row>
    <row r="46" spans="1:16" x14ac:dyDescent="0.25">
      <c r="B46" s="138"/>
      <c r="C46" s="138"/>
      <c r="D46" s="138"/>
      <c r="E46" s="138"/>
      <c r="F46" s="138"/>
      <c r="G46" s="1"/>
      <c r="H46" s="1"/>
      <c r="L46" s="1"/>
      <c r="M46" s="1"/>
      <c r="N46" s="1"/>
      <c r="O46" s="1"/>
      <c r="P46" s="1"/>
    </row>
    <row r="47" spans="1:16" x14ac:dyDescent="0.25">
      <c r="B47" s="138"/>
      <c r="C47" s="138"/>
      <c r="D47" s="138"/>
      <c r="E47" s="138"/>
      <c r="F47" s="138"/>
      <c r="G47" s="1"/>
      <c r="H47" s="1"/>
      <c r="L47" s="1"/>
      <c r="M47" s="1"/>
      <c r="N47" s="1"/>
      <c r="O47" s="1"/>
      <c r="P47" s="1"/>
    </row>
    <row r="48" spans="1:16" x14ac:dyDescent="0.25">
      <c r="C48" s="138"/>
      <c r="D48" s="138"/>
      <c r="E48" s="138"/>
      <c r="F48" s="138"/>
      <c r="G48" s="1"/>
      <c r="H48" s="1"/>
      <c r="L48" s="1"/>
      <c r="M48" s="1"/>
      <c r="N48" s="1"/>
      <c r="O48" s="1"/>
      <c r="P48" s="1"/>
    </row>
    <row r="49" spans="2:16" x14ac:dyDescent="0.25">
      <c r="C49" s="138"/>
      <c r="D49" s="138"/>
      <c r="E49" s="138"/>
      <c r="F49" s="138"/>
      <c r="G49" s="1"/>
      <c r="H49" s="1"/>
      <c r="L49" s="1"/>
      <c r="M49" s="1"/>
      <c r="N49" s="1"/>
      <c r="O49" s="1"/>
      <c r="P49" s="1"/>
    </row>
    <row r="50" spans="2:16" x14ac:dyDescent="0.25">
      <c r="B50" s="138"/>
      <c r="C50" s="138"/>
      <c r="D50" s="138"/>
      <c r="E50" s="138"/>
      <c r="F50" s="138"/>
      <c r="G50" s="1"/>
      <c r="H50" s="1"/>
      <c r="L50" s="1"/>
      <c r="M50" s="1"/>
      <c r="N50" s="1"/>
      <c r="O50" s="1"/>
      <c r="P50" s="1"/>
    </row>
    <row r="51" spans="2:16" x14ac:dyDescent="0.25">
      <c r="B51" s="138"/>
      <c r="C51" s="138"/>
      <c r="D51" s="138"/>
      <c r="E51" s="138"/>
      <c r="F51" s="138"/>
      <c r="G51" s="1"/>
      <c r="H51" s="1"/>
      <c r="L51" s="1"/>
      <c r="M51" s="1"/>
      <c r="N51" s="1"/>
      <c r="O51" s="1"/>
      <c r="P51" s="1"/>
    </row>
    <row r="52" spans="2:16" x14ac:dyDescent="0.25">
      <c r="B52" s="138"/>
      <c r="C52" s="138"/>
      <c r="D52" s="138"/>
      <c r="E52" s="138"/>
      <c r="F52" s="138"/>
      <c r="G52" s="1"/>
      <c r="H52" s="1"/>
      <c r="L52" s="1"/>
      <c r="M52" s="1"/>
      <c r="N52" s="1"/>
      <c r="O52" s="1"/>
      <c r="P52" s="1"/>
    </row>
    <row r="53" spans="2:16" x14ac:dyDescent="0.25">
      <c r="B53" s="138"/>
      <c r="C53" s="138"/>
      <c r="D53" s="138"/>
      <c r="E53" s="138"/>
      <c r="F53" s="138"/>
      <c r="G53" s="1"/>
      <c r="H53" s="1"/>
      <c r="L53" s="1"/>
      <c r="M53" s="1"/>
      <c r="N53" s="1"/>
      <c r="O53" s="1"/>
      <c r="P53" s="1"/>
    </row>
    <row r="54" spans="2:16" x14ac:dyDescent="0.25">
      <c r="B54" s="138"/>
      <c r="C54" s="138"/>
      <c r="D54" s="138"/>
      <c r="E54" s="138"/>
      <c r="F54" s="138"/>
      <c r="G54" s="1"/>
      <c r="H54" s="1"/>
      <c r="L54" s="1"/>
      <c r="M54" s="1"/>
      <c r="N54" s="1"/>
      <c r="O54" s="1"/>
      <c r="P54" s="1"/>
    </row>
    <row r="55" spans="2:16" x14ac:dyDescent="0.25">
      <c r="B55" s="138"/>
      <c r="C55" s="138"/>
      <c r="D55" s="138"/>
      <c r="E55" s="138"/>
      <c r="F55" s="138"/>
      <c r="G55" s="1"/>
      <c r="H55" s="1"/>
      <c r="L55" s="1"/>
      <c r="M55" s="1"/>
      <c r="N55" s="1"/>
      <c r="O55" s="1"/>
      <c r="P55" s="1"/>
    </row>
    <row r="56" spans="2:16" x14ac:dyDescent="0.25">
      <c r="B56" s="138"/>
      <c r="C56" s="138"/>
      <c r="D56" s="138"/>
      <c r="E56" s="138"/>
      <c r="F56" s="138"/>
      <c r="G56" s="1"/>
      <c r="H56" s="1"/>
      <c r="L56" s="1"/>
      <c r="M56" s="1"/>
      <c r="N56" s="1"/>
      <c r="O56" s="1"/>
      <c r="P56" s="1"/>
    </row>
    <row r="57" spans="2:16" x14ac:dyDescent="0.25">
      <c r="B57" s="138"/>
      <c r="C57" s="138"/>
      <c r="D57" s="138"/>
      <c r="E57" s="138"/>
      <c r="F57" s="138"/>
      <c r="G57" s="1"/>
      <c r="H57" s="1"/>
      <c r="L57" s="1"/>
      <c r="M57" s="1"/>
      <c r="N57" s="1"/>
      <c r="O57" s="1"/>
      <c r="P57" s="1"/>
    </row>
    <row r="58" spans="2:16" x14ac:dyDescent="0.25">
      <c r="B58" s="138"/>
      <c r="C58" s="138"/>
      <c r="D58" s="138"/>
      <c r="E58" s="138"/>
      <c r="F58" s="138"/>
      <c r="G58" s="1"/>
      <c r="H58" s="1"/>
      <c r="L58" s="1"/>
      <c r="M58" s="1"/>
      <c r="N58" s="1"/>
      <c r="O58" s="1"/>
      <c r="P58" s="1"/>
    </row>
    <row r="59" spans="2:16" x14ac:dyDescent="0.25">
      <c r="B59" s="138"/>
      <c r="C59" s="138"/>
      <c r="D59" s="138"/>
      <c r="E59" s="138"/>
      <c r="F59" s="138"/>
      <c r="G59" s="1"/>
      <c r="H59" s="1"/>
      <c r="L59" s="1"/>
      <c r="M59" s="1"/>
      <c r="N59" s="1"/>
      <c r="O59" s="1"/>
      <c r="P59" s="1"/>
    </row>
    <row r="60" spans="2:16" x14ac:dyDescent="0.25">
      <c r="B60" s="138"/>
      <c r="C60" s="138"/>
      <c r="D60" s="138"/>
      <c r="E60" s="138"/>
      <c r="F60" s="138"/>
      <c r="G60" s="1"/>
      <c r="H60" s="1"/>
      <c r="L60" s="1"/>
      <c r="M60" s="1"/>
      <c r="N60" s="1"/>
      <c r="O60" s="1"/>
      <c r="P60" s="1"/>
    </row>
    <row r="61" spans="2:16" x14ac:dyDescent="0.25">
      <c r="B61" s="138"/>
      <c r="C61" s="138"/>
      <c r="D61" s="138"/>
      <c r="E61" s="138"/>
      <c r="F61" s="138"/>
      <c r="G61" s="1"/>
      <c r="H61" s="1"/>
      <c r="L61" s="1"/>
      <c r="M61" s="1"/>
      <c r="N61" s="1"/>
      <c r="O61" s="1"/>
      <c r="P61" s="1"/>
    </row>
    <row r="62" spans="2:16" x14ac:dyDescent="0.25">
      <c r="B62" s="138"/>
      <c r="C62" s="138"/>
      <c r="D62" s="138"/>
      <c r="E62" s="138"/>
      <c r="F62" s="138"/>
      <c r="G62" s="1"/>
      <c r="H62" s="1"/>
      <c r="L62" s="1"/>
      <c r="M62" s="1"/>
      <c r="N62" s="1"/>
      <c r="O62" s="1"/>
      <c r="P62" s="1"/>
    </row>
    <row r="63" spans="2:16" x14ac:dyDescent="0.25">
      <c r="B63" s="138"/>
      <c r="C63" s="138"/>
      <c r="D63" s="138"/>
      <c r="E63" s="138"/>
      <c r="F63" s="138"/>
      <c r="G63" s="1"/>
      <c r="H63" s="1"/>
      <c r="L63" s="1"/>
      <c r="M63" s="1"/>
      <c r="N63" s="1"/>
      <c r="O63" s="1"/>
      <c r="P63" s="1"/>
    </row>
    <row r="64" spans="2:16" x14ac:dyDescent="0.25">
      <c r="B64" s="138"/>
      <c r="C64" s="138"/>
      <c r="D64" s="138"/>
      <c r="E64" s="138"/>
      <c r="F64" s="138"/>
      <c r="G64" s="1"/>
      <c r="H64" s="1"/>
      <c r="L64" s="1"/>
      <c r="M64" s="1"/>
      <c r="N64" s="1"/>
      <c r="O64" s="1"/>
      <c r="P64" s="1"/>
    </row>
    <row r="65" spans="2:16" x14ac:dyDescent="0.25">
      <c r="B65" s="138"/>
      <c r="C65" s="138"/>
      <c r="D65" s="138"/>
      <c r="E65" s="138"/>
      <c r="F65" s="138"/>
      <c r="G65" s="1"/>
      <c r="H65" s="1"/>
      <c r="L65" s="1"/>
      <c r="M65" s="1"/>
      <c r="N65" s="1"/>
      <c r="O65" s="1"/>
      <c r="P65" s="1"/>
    </row>
    <row r="66" spans="2:16" x14ac:dyDescent="0.25">
      <c r="B66" s="138"/>
      <c r="C66" s="138"/>
      <c r="D66" s="138"/>
      <c r="E66" s="138"/>
      <c r="F66" s="138"/>
      <c r="G66" s="1"/>
      <c r="H66" s="1"/>
      <c r="L66" s="1"/>
      <c r="M66" s="1"/>
      <c r="N66" s="1"/>
      <c r="O66" s="1"/>
      <c r="P66" s="1"/>
    </row>
    <row r="67" spans="2:16" x14ac:dyDescent="0.25">
      <c r="B67" s="138"/>
      <c r="C67" s="138"/>
      <c r="D67" s="138"/>
      <c r="E67" s="138"/>
      <c r="F67" s="138"/>
      <c r="G67" s="138"/>
      <c r="H67" s="138"/>
      <c r="L67" s="1"/>
      <c r="M67" s="1"/>
      <c r="N67" s="1"/>
      <c r="O67" s="1"/>
      <c r="P67" s="1"/>
    </row>
    <row r="68" spans="2:16" x14ac:dyDescent="0.25">
      <c r="B68" s="138"/>
      <c r="C68" s="138"/>
      <c r="D68" s="138"/>
      <c r="E68" s="138"/>
      <c r="F68" s="138"/>
      <c r="G68" s="138"/>
      <c r="H68" s="138"/>
      <c r="L68" s="1"/>
      <c r="M68" s="1"/>
      <c r="N68" s="1"/>
      <c r="O68" s="1"/>
      <c r="P68" s="1"/>
    </row>
    <row r="69" spans="2:16" x14ac:dyDescent="0.25">
      <c r="B69" s="138"/>
      <c r="C69" s="138"/>
      <c r="D69" s="138"/>
      <c r="E69" s="138"/>
      <c r="F69" s="138"/>
      <c r="G69" s="138"/>
      <c r="H69" s="138"/>
      <c r="L69" s="1"/>
      <c r="M69" s="1"/>
      <c r="N69" s="1"/>
      <c r="O69" s="1"/>
      <c r="P69" s="1"/>
    </row>
    <row r="70" spans="2:16" x14ac:dyDescent="0.25">
      <c r="B70" s="138"/>
      <c r="C70" s="138"/>
      <c r="D70" s="138"/>
      <c r="E70" s="138"/>
      <c r="F70" s="138"/>
      <c r="G70" s="138"/>
      <c r="H70" s="138"/>
      <c r="I70" s="138"/>
      <c r="J70" s="138"/>
      <c r="L70" s="1"/>
      <c r="M70" s="1"/>
      <c r="N70" s="1"/>
      <c r="O70" s="1"/>
      <c r="P70" s="1"/>
    </row>
    <row r="71" spans="2:16" x14ac:dyDescent="0.25">
      <c r="B71" s="138"/>
      <c r="C71" s="138"/>
      <c r="D71" s="138"/>
      <c r="E71" s="138"/>
      <c r="F71" s="138"/>
      <c r="G71" s="138"/>
      <c r="H71" s="138"/>
      <c r="I71" s="138"/>
      <c r="J71" s="138"/>
      <c r="L71" s="1"/>
      <c r="M71" s="1"/>
      <c r="N71" s="1"/>
      <c r="O71" s="1"/>
      <c r="P71" s="1"/>
    </row>
    <row r="72" spans="2:16" x14ac:dyDescent="0.25">
      <c r="B72" s="138"/>
      <c r="C72" s="138"/>
      <c r="D72" s="138"/>
      <c r="E72" s="138"/>
      <c r="F72" s="138"/>
      <c r="G72" s="138"/>
      <c r="H72" s="138"/>
      <c r="I72" s="138"/>
      <c r="J72" s="138"/>
      <c r="L72" s="1"/>
      <c r="M72" s="1"/>
      <c r="N72" s="1"/>
      <c r="O72" s="1"/>
      <c r="P72" s="1"/>
    </row>
    <row r="73" spans="2:16" x14ac:dyDescent="0.25">
      <c r="B73" s="138"/>
      <c r="C73" s="138"/>
      <c r="D73" s="138"/>
      <c r="E73" s="138"/>
      <c r="F73" s="138"/>
      <c r="G73" s="138"/>
      <c r="H73" s="138"/>
      <c r="I73" s="138"/>
      <c r="J73" s="138"/>
      <c r="L73" s="1"/>
      <c r="M73" s="1"/>
      <c r="N73" s="1"/>
      <c r="O73" s="1"/>
      <c r="P73" s="1"/>
    </row>
    <row r="74" spans="2:16" x14ac:dyDescent="0.25">
      <c r="B74" s="138"/>
      <c r="C74" s="138"/>
      <c r="D74" s="138"/>
      <c r="E74" s="138"/>
      <c r="F74" s="138"/>
      <c r="G74" s="138"/>
      <c r="H74" s="138"/>
      <c r="I74" s="138"/>
      <c r="J74" s="138"/>
      <c r="L74" s="1"/>
      <c r="M74" s="1"/>
      <c r="N74" s="1"/>
      <c r="O74" s="1"/>
      <c r="P74" s="1"/>
    </row>
    <row r="75" spans="2:16" x14ac:dyDescent="0.25">
      <c r="B75" s="138"/>
      <c r="C75" s="138"/>
      <c r="D75" s="138"/>
      <c r="E75" s="138"/>
      <c r="F75" s="138"/>
      <c r="G75" s="138"/>
      <c r="H75" s="138"/>
      <c r="I75" s="138"/>
      <c r="J75" s="138"/>
      <c r="L75" s="1"/>
      <c r="M75" s="1"/>
      <c r="N75" s="1"/>
      <c r="O75" s="1"/>
      <c r="P75" s="1"/>
    </row>
    <row r="76" spans="2:16" x14ac:dyDescent="0.25">
      <c r="B76" s="138"/>
      <c r="C76" s="138"/>
      <c r="D76" s="138"/>
      <c r="E76" s="138"/>
      <c r="F76" s="138"/>
      <c r="G76" s="138"/>
      <c r="H76" s="138"/>
      <c r="I76" s="138"/>
      <c r="J76" s="138"/>
      <c r="L76" s="1"/>
      <c r="M76" s="1"/>
      <c r="N76" s="1"/>
      <c r="O76" s="1"/>
      <c r="P76" s="1"/>
    </row>
    <row r="77" spans="2:16" x14ac:dyDescent="0.25">
      <c r="B77" s="138"/>
      <c r="C77" s="138"/>
      <c r="D77" s="138"/>
      <c r="E77" s="138"/>
      <c r="F77" s="138"/>
      <c r="G77" s="138"/>
      <c r="H77" s="138"/>
      <c r="I77" s="138"/>
      <c r="J77" s="138"/>
      <c r="L77" s="1"/>
      <c r="M77" s="1"/>
      <c r="N77" s="1"/>
      <c r="O77" s="1"/>
      <c r="P77" s="1"/>
    </row>
    <row r="78" spans="2:16" x14ac:dyDescent="0.25">
      <c r="B78" s="138"/>
      <c r="C78" s="138"/>
      <c r="D78" s="138"/>
      <c r="E78" s="138"/>
      <c r="F78" s="138"/>
      <c r="G78" s="138"/>
      <c r="H78" s="138"/>
      <c r="I78" s="138"/>
      <c r="J78" s="138"/>
      <c r="L78" s="1"/>
      <c r="M78" s="1"/>
      <c r="N78" s="1"/>
      <c r="O78" s="1"/>
      <c r="P78" s="1"/>
    </row>
    <row r="79" spans="2:16" x14ac:dyDescent="0.25">
      <c r="B79" s="138"/>
      <c r="C79" s="138"/>
      <c r="D79" s="138"/>
      <c r="E79" s="138"/>
      <c r="F79" s="138"/>
      <c r="G79" s="138"/>
      <c r="H79" s="138"/>
      <c r="I79" s="138"/>
      <c r="J79" s="138"/>
      <c r="L79" s="1"/>
      <c r="M79" s="1"/>
      <c r="N79" s="1"/>
      <c r="O79" s="1"/>
      <c r="P79" s="1"/>
    </row>
    <row r="80" spans="2:16" x14ac:dyDescent="0.25">
      <c r="B80" s="138"/>
      <c r="C80" s="138"/>
      <c r="D80" s="138"/>
      <c r="E80" s="138"/>
      <c r="F80" s="138"/>
      <c r="G80" s="138"/>
      <c r="H80" s="138"/>
      <c r="I80" s="138"/>
      <c r="J80" s="138"/>
      <c r="L80" s="1"/>
      <c r="M80" s="1"/>
      <c r="N80" s="1"/>
      <c r="O80" s="1"/>
      <c r="P80" s="1"/>
    </row>
    <row r="81" spans="2:16" x14ac:dyDescent="0.25"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M81" s="1"/>
      <c r="N81" s="1"/>
      <c r="O81" s="1"/>
      <c r="P81" s="1"/>
    </row>
    <row r="82" spans="2:16" x14ac:dyDescent="0.25"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M82" s="1"/>
      <c r="N82" s="1"/>
      <c r="O82" s="1"/>
      <c r="P82" s="1"/>
    </row>
    <row r="83" spans="2:16" x14ac:dyDescent="0.25"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M83" s="1"/>
      <c r="N83" s="1"/>
      <c r="O83" s="1"/>
      <c r="P83" s="1"/>
    </row>
    <row r="84" spans="2:16" x14ac:dyDescent="0.25"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M84" s="1"/>
      <c r="N84" s="1"/>
      <c r="O84" s="1"/>
      <c r="P84" s="1"/>
    </row>
    <row r="85" spans="2:16" x14ac:dyDescent="0.25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M85" s="1"/>
      <c r="N85" s="1"/>
      <c r="O85" s="1"/>
      <c r="P85" s="1"/>
    </row>
    <row r="86" spans="2:16" x14ac:dyDescent="0.25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M86" s="1"/>
      <c r="N86" s="1"/>
      <c r="O86" s="1"/>
      <c r="P86" s="1"/>
    </row>
    <row r="87" spans="2:16" x14ac:dyDescent="0.25"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M87" s="1"/>
      <c r="N87" s="1"/>
      <c r="O87" s="1"/>
      <c r="P87" s="1"/>
    </row>
    <row r="88" spans="2:16" x14ac:dyDescent="0.25">
      <c r="B88" s="138"/>
      <c r="C88" s="138"/>
      <c r="D88" s="138"/>
      <c r="E88" s="138"/>
      <c r="F88" s="138"/>
      <c r="G88" s="138"/>
      <c r="H88" s="138"/>
      <c r="I88" s="31"/>
      <c r="J88" s="138"/>
      <c r="K88" s="138"/>
      <c r="O88" s="1"/>
      <c r="P88" s="1"/>
    </row>
    <row r="89" spans="2:16" x14ac:dyDescent="0.25">
      <c r="B89" s="138"/>
      <c r="C89" s="138"/>
      <c r="D89" s="138"/>
      <c r="E89" s="138"/>
      <c r="F89" s="138"/>
      <c r="G89" s="138"/>
      <c r="H89" s="138"/>
      <c r="I89" s="31"/>
      <c r="J89" s="138"/>
      <c r="K89" s="138"/>
      <c r="O89" s="1"/>
      <c r="P89" s="1"/>
    </row>
    <row r="90" spans="2:16" x14ac:dyDescent="0.25">
      <c r="B90" s="138"/>
      <c r="C90" s="138"/>
      <c r="D90" s="138"/>
      <c r="E90" s="138"/>
      <c r="F90" s="138"/>
      <c r="G90" s="138"/>
      <c r="H90" s="138"/>
      <c r="I90" s="31"/>
      <c r="J90" s="138"/>
      <c r="K90" s="138"/>
      <c r="O90" s="1"/>
      <c r="P90" s="1"/>
    </row>
    <row r="91" spans="2:16" x14ac:dyDescent="0.25">
      <c r="B91" s="138"/>
      <c r="C91" s="138"/>
      <c r="D91" s="138"/>
      <c r="E91" s="138"/>
      <c r="F91" s="138"/>
      <c r="G91" s="138"/>
      <c r="H91" s="138"/>
      <c r="I91" s="31"/>
      <c r="J91" s="138"/>
      <c r="K91" s="138"/>
      <c r="O91" s="1"/>
      <c r="P91" s="1"/>
    </row>
    <row r="92" spans="2:16" x14ac:dyDescent="0.25">
      <c r="B92" s="138"/>
      <c r="I92" s="31"/>
      <c r="J92" s="138"/>
      <c r="K92" s="138"/>
      <c r="O92" s="1"/>
      <c r="P92" s="1"/>
    </row>
    <row r="93" spans="2:16" x14ac:dyDescent="0.25">
      <c r="B93" s="138"/>
      <c r="I93" s="31"/>
      <c r="J93" s="138"/>
      <c r="K93" s="138"/>
      <c r="O93" s="1"/>
      <c r="P93" s="1"/>
    </row>
    <row r="94" spans="2:16" x14ac:dyDescent="0.25">
      <c r="B94" s="138"/>
      <c r="G94" s="1"/>
      <c r="H94" s="1"/>
      <c r="J94" s="138"/>
      <c r="K94" s="138"/>
      <c r="O94" s="1"/>
      <c r="P94" s="1"/>
    </row>
    <row r="95" spans="2:16" x14ac:dyDescent="0.25">
      <c r="B95" s="138"/>
      <c r="G95" s="1"/>
      <c r="H95" s="1"/>
      <c r="J95" s="138"/>
      <c r="K95" s="138"/>
      <c r="O95" s="1"/>
      <c r="P95" s="1"/>
    </row>
    <row r="96" spans="2:16" x14ac:dyDescent="0.25">
      <c r="B96" s="138"/>
      <c r="G96" s="1"/>
      <c r="H96" s="1"/>
      <c r="J96" s="138"/>
      <c r="K96" s="138"/>
      <c r="O96" s="1"/>
      <c r="P96" s="1"/>
    </row>
    <row r="97" spans="2:16" x14ac:dyDescent="0.25">
      <c r="B97" s="138"/>
      <c r="G97" s="1"/>
      <c r="H97" s="1"/>
      <c r="J97" s="138"/>
      <c r="K97" s="138"/>
      <c r="O97" s="1"/>
      <c r="P97" s="1"/>
    </row>
    <row r="98" spans="2:16" x14ac:dyDescent="0.25">
      <c r="B98" s="138"/>
      <c r="G98" s="1"/>
      <c r="H98" s="1"/>
      <c r="J98" s="138"/>
      <c r="K98" s="138"/>
      <c r="O98" s="1"/>
      <c r="P98" s="1"/>
    </row>
    <row r="99" spans="2:16" x14ac:dyDescent="0.25">
      <c r="B99" s="138"/>
      <c r="G99" s="1"/>
      <c r="H99" s="1"/>
      <c r="J99" s="138"/>
      <c r="K99" s="138"/>
      <c r="O99" s="1"/>
      <c r="P99" s="1"/>
    </row>
    <row r="100" spans="2:16" x14ac:dyDescent="0.25">
      <c r="B100" s="138"/>
      <c r="G100" s="1"/>
      <c r="H100" s="1"/>
      <c r="J100" s="138"/>
      <c r="K100" s="138"/>
      <c r="O100" s="1"/>
      <c r="P100" s="1"/>
    </row>
    <row r="101" spans="2:16" x14ac:dyDescent="0.25">
      <c r="B101" s="138"/>
      <c r="G101" s="1"/>
      <c r="H101" s="1"/>
      <c r="J101" s="138"/>
      <c r="K101" s="138"/>
      <c r="O101" s="1"/>
      <c r="P101" s="1"/>
    </row>
    <row r="102" spans="2:16" x14ac:dyDescent="0.25">
      <c r="B102" s="138"/>
      <c r="G102" s="1"/>
      <c r="H102" s="1"/>
      <c r="J102" s="138"/>
      <c r="K102" s="138"/>
      <c r="O102" s="1"/>
      <c r="P102" s="1"/>
    </row>
    <row r="103" spans="2:16" x14ac:dyDescent="0.25">
      <c r="B103" s="138"/>
      <c r="G103" s="1"/>
      <c r="H103" s="1"/>
      <c r="J103" s="138"/>
      <c r="K103" s="138"/>
      <c r="O103" s="1"/>
      <c r="P103" s="1"/>
    </row>
    <row r="104" spans="2:16" x14ac:dyDescent="0.25">
      <c r="B104" s="138"/>
      <c r="G104" s="1"/>
      <c r="H104" s="1"/>
      <c r="J104" s="138"/>
      <c r="K104" s="138"/>
      <c r="O104" s="1"/>
      <c r="P104" s="1"/>
    </row>
    <row r="105" spans="2:16" x14ac:dyDescent="0.25">
      <c r="G105" s="1"/>
      <c r="H105" s="1"/>
      <c r="J105" s="138"/>
      <c r="K105" s="138"/>
      <c r="O105" s="1"/>
      <c r="P105" s="1"/>
    </row>
    <row r="106" spans="2:16" x14ac:dyDescent="0.25">
      <c r="G106" s="1"/>
      <c r="H106" s="1"/>
      <c r="J106" s="138"/>
      <c r="K106" s="138"/>
      <c r="O106" s="1"/>
      <c r="P106" s="1"/>
    </row>
    <row r="107" spans="2:16" x14ac:dyDescent="0.25">
      <c r="G107" s="1"/>
      <c r="H107" s="1"/>
      <c r="J107" s="138"/>
      <c r="K107" s="138"/>
      <c r="O107" s="1"/>
      <c r="P107" s="1"/>
    </row>
    <row r="108" spans="2:16" x14ac:dyDescent="0.25">
      <c r="G108" s="1"/>
      <c r="H108" s="1"/>
      <c r="J108" s="138"/>
      <c r="K108" s="138"/>
      <c r="O108" s="1"/>
      <c r="P108" s="1"/>
    </row>
    <row r="109" spans="2:16" x14ac:dyDescent="0.25">
      <c r="G109" s="1"/>
      <c r="H109" s="1"/>
      <c r="J109" s="138"/>
      <c r="K109" s="138"/>
      <c r="O109" s="1"/>
      <c r="P109" s="1"/>
    </row>
    <row r="110" spans="2:16" x14ac:dyDescent="0.25">
      <c r="G110" s="1"/>
      <c r="H110" s="1"/>
      <c r="J110" s="138"/>
      <c r="K110" s="138"/>
      <c r="O110" s="1"/>
      <c r="P110" s="1"/>
    </row>
    <row r="111" spans="2:16" x14ac:dyDescent="0.25">
      <c r="G111" s="1"/>
      <c r="H111" s="1"/>
      <c r="J111" s="138"/>
      <c r="K111" s="138"/>
      <c r="O111" s="1"/>
      <c r="P111" s="1"/>
    </row>
    <row r="112" spans="2:16" x14ac:dyDescent="0.25">
      <c r="G112" s="1"/>
      <c r="H112" s="1"/>
      <c r="J112" s="138"/>
      <c r="K112" s="138"/>
      <c r="O112" s="1"/>
      <c r="P112" s="1"/>
    </row>
    <row r="113" spans="7:16" x14ac:dyDescent="0.25">
      <c r="G113" s="1"/>
      <c r="H113" s="1"/>
      <c r="J113" s="138"/>
      <c r="K113" s="138"/>
      <c r="O113" s="1"/>
      <c r="P113" s="1"/>
    </row>
    <row r="114" spans="7:16" x14ac:dyDescent="0.25">
      <c r="G114" s="1"/>
      <c r="H114" s="1"/>
      <c r="J114" s="138"/>
      <c r="K114" s="138"/>
      <c r="O114" s="1"/>
      <c r="P114" s="1"/>
    </row>
    <row r="115" spans="7:16" x14ac:dyDescent="0.25">
      <c r="G115" s="1"/>
      <c r="H115" s="1"/>
      <c r="J115" s="138"/>
      <c r="K115" s="138"/>
      <c r="O115" s="1"/>
      <c r="P115" s="1"/>
    </row>
    <row r="116" spans="7:16" x14ac:dyDescent="0.25">
      <c r="G116" s="1"/>
      <c r="H116" s="1"/>
      <c r="J116" s="138"/>
      <c r="K116" s="138"/>
      <c r="O116" s="1"/>
      <c r="P116" s="1"/>
    </row>
    <row r="117" spans="7:16" x14ac:dyDescent="0.25">
      <c r="G117" s="1"/>
      <c r="H117" s="1"/>
      <c r="J117" s="138"/>
      <c r="K117" s="138"/>
      <c r="O117" s="1"/>
      <c r="P117" s="1"/>
    </row>
    <row r="118" spans="7:16" x14ac:dyDescent="0.25">
      <c r="G118" s="1"/>
      <c r="H118" s="1"/>
      <c r="J118" s="138"/>
      <c r="K118" s="138"/>
      <c r="O118" s="1"/>
      <c r="P11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7.7109375" style="31" customWidth="1"/>
    <col min="7" max="7" width="13.5703125" style="31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" ht="18.75" x14ac:dyDescent="0.3">
      <c r="A2" s="151" t="s">
        <v>74</v>
      </c>
      <c r="B2" s="151"/>
      <c r="C2" s="151"/>
      <c r="D2" s="151"/>
      <c r="E2" s="151"/>
      <c r="F2" s="151"/>
      <c r="G2" s="151"/>
      <c r="H2" s="151"/>
      <c r="I2" s="151"/>
    </row>
    <row r="3" spans="1:9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9" x14ac:dyDescent="0.25">
      <c r="A4" s="152">
        <v>44957</v>
      </c>
      <c r="B4" s="152"/>
      <c r="C4" s="152"/>
      <c r="D4" s="152"/>
      <c r="E4" s="152"/>
      <c r="F4" s="152"/>
      <c r="G4" s="152"/>
      <c r="H4" s="152"/>
      <c r="I4" s="152"/>
    </row>
    <row r="5" spans="1:9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9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9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" t="s">
        <v>7</v>
      </c>
      <c r="I7" s="4" t="s">
        <v>35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6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19859400</v>
      </c>
      <c r="F9" s="7">
        <v>0</v>
      </c>
      <c r="G9" s="7">
        <f t="shared" si="0"/>
        <v>19859400</v>
      </c>
      <c r="H9" s="7">
        <f t="shared" si="1"/>
        <v>10116791</v>
      </c>
      <c r="I9" s="36">
        <f t="shared" si="2"/>
        <v>0.33749421332416785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19859400</v>
      </c>
      <c r="F10" s="11">
        <f t="shared" si="3"/>
        <v>0</v>
      </c>
      <c r="G10" s="11">
        <f t="shared" si="0"/>
        <v>19859400</v>
      </c>
      <c r="H10" s="11">
        <f t="shared" si="1"/>
        <v>10116791</v>
      </c>
      <c r="I10" s="37">
        <f t="shared" si="2"/>
        <v>0.33749421332416785</v>
      </c>
    </row>
    <row r="11" spans="1:9" s="5" customFormat="1" x14ac:dyDescent="0.2">
      <c r="A11" s="28" t="s">
        <v>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4">
        <f t="shared" si="1"/>
        <v>0</v>
      </c>
      <c r="I11" s="38" t="str">
        <f t="shared" si="2"/>
        <v>NA</v>
      </c>
    </row>
    <row r="12" spans="1:9" s="5" customFormat="1" x14ac:dyDescent="0.2">
      <c r="A12" s="29" t="s">
        <v>25</v>
      </c>
      <c r="B12" s="9">
        <v>29976191</v>
      </c>
      <c r="C12" s="9">
        <v>29976191</v>
      </c>
      <c r="D12" s="9">
        <v>0</v>
      </c>
      <c r="E12" s="9">
        <v>19859400</v>
      </c>
      <c r="F12" s="9">
        <v>0</v>
      </c>
      <c r="G12" s="9">
        <f t="shared" ref="G12" si="4">SUM(E12:F12)</f>
        <v>19859400</v>
      </c>
      <c r="H12" s="9">
        <f t="shared" ref="H12" si="5">C12-G12</f>
        <v>10116791</v>
      </c>
      <c r="I12" s="39">
        <f t="shared" ref="I12" si="6">IF(C12=0,"NA",H12/C12)</f>
        <v>0.33749421332416785</v>
      </c>
    </row>
    <row r="13" spans="1:9" s="5" customFormat="1" ht="24.95" customHeight="1" x14ac:dyDescent="0.2">
      <c r="A13" s="10" t="s">
        <v>27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19859400</v>
      </c>
      <c r="F13" s="11">
        <f t="shared" si="7"/>
        <v>0</v>
      </c>
      <c r="G13" s="11">
        <f t="shared" ref="G13" si="8">SUM(E13:F13)</f>
        <v>19859400</v>
      </c>
      <c r="H13" s="11">
        <f t="shared" ref="H13" si="9">C13-G13</f>
        <v>10116791</v>
      </c>
      <c r="I13" s="37">
        <f t="shared" ref="I13" si="10">IF(C13=0,"NA",H13/C13)</f>
        <v>0.33749421332416785</v>
      </c>
    </row>
    <row r="14" spans="1:9" s="5" customFormat="1" x14ac:dyDescent="0.2">
      <c r="A14" s="13"/>
      <c r="B14" s="14"/>
      <c r="C14" s="14"/>
      <c r="D14" s="14"/>
      <c r="E14" s="14"/>
      <c r="F14" s="14"/>
      <c r="G14" s="14"/>
      <c r="H14" s="15"/>
      <c r="I14" s="16"/>
    </row>
    <row r="15" spans="1:9" s="5" customFormat="1" x14ac:dyDescent="0.2">
      <c r="A15" s="6" t="s">
        <v>28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7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8"/>
    </row>
    <row r="17" spans="1:10" s="5" customFormat="1" ht="24.95" customHeight="1" x14ac:dyDescent="0.2">
      <c r="A17" s="19" t="s">
        <v>78</v>
      </c>
      <c r="B17" s="21"/>
      <c r="C17" s="21"/>
      <c r="D17" s="21"/>
      <c r="E17" s="21">
        <v>47604.51</v>
      </c>
      <c r="F17" s="21"/>
      <c r="G17" s="21">
        <f>E17</f>
        <v>47604.51</v>
      </c>
      <c r="H17" s="20"/>
      <c r="I17" s="22"/>
    </row>
    <row r="18" spans="1:10" s="5" customFormat="1" ht="24.95" customHeight="1" thickBot="1" x14ac:dyDescent="0.25">
      <c r="A18" s="23" t="s">
        <v>29</v>
      </c>
      <c r="B18" s="25"/>
      <c r="C18" s="25"/>
      <c r="D18" s="25"/>
      <c r="E18" s="25">
        <f>SUM(E15:E17)</f>
        <v>47604.51</v>
      </c>
      <c r="F18" s="25"/>
      <c r="G18" s="25">
        <f>SUM(G15:G17)</f>
        <v>47604.51</v>
      </c>
      <c r="H18" s="24"/>
      <c r="I18" s="26"/>
    </row>
    <row r="19" spans="1:10" s="5" customFormat="1" x14ac:dyDescent="0.2">
      <c r="B19" s="34"/>
      <c r="C19" s="34"/>
      <c r="D19" s="34"/>
      <c r="E19" s="34"/>
      <c r="F19" s="34"/>
      <c r="G19" s="34"/>
    </row>
    <row r="20" spans="1:10" s="5" customFormat="1" x14ac:dyDescent="0.2">
      <c r="A20" s="32"/>
      <c r="B20" s="34"/>
      <c r="C20" s="34"/>
      <c r="D20" s="34"/>
      <c r="E20" s="34"/>
      <c r="F20" s="34"/>
      <c r="G20" s="34"/>
    </row>
    <row r="21" spans="1:10" s="5" customFormat="1" x14ac:dyDescent="0.2">
      <c r="B21" s="34"/>
      <c r="C21" s="34"/>
      <c r="D21" s="34"/>
      <c r="E21" s="34"/>
      <c r="F21" s="34"/>
      <c r="G21" s="34"/>
      <c r="H21" s="34"/>
      <c r="I21" s="34"/>
    </row>
    <row r="22" spans="1:10" x14ac:dyDescent="0.25">
      <c r="H22" s="31"/>
      <c r="I22" s="31"/>
    </row>
    <row r="24" spans="1:10" x14ac:dyDescent="0.25">
      <c r="H24" s="31"/>
      <c r="I24" s="31"/>
      <c r="J24" s="31"/>
    </row>
    <row r="26" spans="1:10" x14ac:dyDescent="0.25">
      <c r="H26" s="31"/>
      <c r="I26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140625" style="31" bestFit="1" customWidth="1"/>
    <col min="4" max="4" width="13.42578125" style="31" bestFit="1" customWidth="1"/>
    <col min="5" max="5" width="14.5703125" style="31" bestFit="1" customWidth="1"/>
    <col min="6" max="6" width="17.5703125" style="31" customWidth="1"/>
    <col min="7" max="7" width="14.5703125" style="31" bestFit="1" customWidth="1"/>
    <col min="8" max="8" width="14.28515625" style="31" bestFit="1" customWidth="1"/>
    <col min="9" max="9" width="14.85546875" style="1" customWidth="1"/>
    <col min="10" max="10" width="3.5703125" style="49" customWidth="1"/>
    <col min="11" max="11" width="29.7109375" style="1" bestFit="1" customWidth="1"/>
    <col min="12" max="13" width="14.5703125" style="138" bestFit="1" customWidth="1"/>
    <col min="14" max="14" width="12.85546875" style="138" bestFit="1" customWidth="1"/>
    <col min="15" max="16" width="13.5703125" style="138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41"/>
    </row>
    <row r="2" spans="1:20" ht="18.75" x14ac:dyDescent="0.3">
      <c r="A2" s="151" t="s">
        <v>75</v>
      </c>
      <c r="B2" s="151"/>
      <c r="C2" s="151"/>
      <c r="D2" s="151"/>
      <c r="E2" s="151"/>
      <c r="F2" s="151"/>
      <c r="G2" s="151"/>
      <c r="H2" s="151"/>
      <c r="I2" s="151"/>
      <c r="J2" s="42"/>
    </row>
    <row r="3" spans="1:20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41"/>
    </row>
    <row r="4" spans="1:20" x14ac:dyDescent="0.25">
      <c r="A4" s="152">
        <v>44957</v>
      </c>
      <c r="B4" s="152"/>
      <c r="C4" s="152"/>
      <c r="D4" s="152"/>
      <c r="E4" s="152"/>
      <c r="F4" s="152"/>
      <c r="G4" s="152"/>
      <c r="H4" s="152"/>
      <c r="I4" s="152"/>
      <c r="J4" s="43"/>
    </row>
    <row r="5" spans="1:20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41"/>
    </row>
    <row r="6" spans="1:20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J6" s="41"/>
    </row>
    <row r="7" spans="1:20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J7" s="44"/>
      <c r="L7" s="139"/>
      <c r="M7" s="139"/>
      <c r="N7" s="139"/>
      <c r="O7" s="139"/>
      <c r="P7" s="139"/>
    </row>
    <row r="8" spans="1:20" s="5" customFormat="1" x14ac:dyDescent="0.2">
      <c r="A8" s="6" t="s">
        <v>8</v>
      </c>
      <c r="B8" s="7">
        <v>428990000</v>
      </c>
      <c r="C8" s="7">
        <v>429010000</v>
      </c>
      <c r="D8" s="7">
        <v>14782771.810000001</v>
      </c>
      <c r="E8" s="7">
        <v>78016146.949999988</v>
      </c>
      <c r="F8" s="7">
        <v>0</v>
      </c>
      <c r="G8" s="7">
        <f t="shared" ref="G8:G20" si="0">SUM(E8:F8)</f>
        <v>78016146.949999988</v>
      </c>
      <c r="H8" s="7">
        <f t="shared" ref="H8:H11" si="1">C8-G8</f>
        <v>350993853.05000001</v>
      </c>
      <c r="I8" s="36">
        <f>IF(C8=0,"NA",H8/C8)</f>
        <v>0.81814841856833176</v>
      </c>
      <c r="J8" s="45"/>
      <c r="K8"/>
      <c r="L8" s="140"/>
      <c r="M8" s="140"/>
      <c r="N8" s="140"/>
      <c r="O8" s="140"/>
      <c r="P8" s="140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495266.88000000006</v>
      </c>
      <c r="E9" s="7">
        <v>1518138.7099999997</v>
      </c>
      <c r="F9" s="7">
        <v>0</v>
      </c>
      <c r="G9" s="7">
        <f t="shared" si="0"/>
        <v>1518138.7099999997</v>
      </c>
      <c r="H9" s="7">
        <f t="shared" si="1"/>
        <v>1281861.2900000003</v>
      </c>
      <c r="I9" s="36">
        <f t="shared" ref="I9:I21" si="2">IF(C9=0,"NA",H9/C9)</f>
        <v>0.45780760357142869</v>
      </c>
      <c r="J9" s="45"/>
      <c r="K9"/>
      <c r="L9" s="140"/>
      <c r="M9" s="140"/>
      <c r="N9" s="140"/>
      <c r="O9" s="140"/>
      <c r="P9" s="140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86511.6</v>
      </c>
      <c r="E10" s="7">
        <v>86511.6</v>
      </c>
      <c r="F10" s="7">
        <v>0</v>
      </c>
      <c r="G10" s="7">
        <f t="shared" si="0"/>
        <v>86511.6</v>
      </c>
      <c r="H10" s="7">
        <f t="shared" si="1"/>
        <v>-86511.6</v>
      </c>
      <c r="I10" s="36" t="str">
        <f t="shared" si="2"/>
        <v>NA</v>
      </c>
      <c r="J10" s="45"/>
      <c r="K10"/>
      <c r="L10" s="140"/>
      <c r="M10" s="140"/>
      <c r="N10" s="140"/>
      <c r="O10" s="140"/>
      <c r="P10" s="140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6" t="str">
        <f t="shared" si="2"/>
        <v>NA</v>
      </c>
      <c r="J11" s="45"/>
      <c r="K11"/>
      <c r="L11" s="140"/>
      <c r="M11" s="140"/>
      <c r="N11" s="140"/>
      <c r="O11" s="140"/>
      <c r="P11" s="140"/>
    </row>
    <row r="12" spans="1:20" s="5" customFormat="1" ht="24.95" customHeight="1" x14ac:dyDescent="0.2">
      <c r="A12" s="10" t="s">
        <v>12</v>
      </c>
      <c r="B12" s="11">
        <f>SUM(B8:B11)</f>
        <v>431790000</v>
      </c>
      <c r="C12" s="11">
        <f t="shared" ref="C12:F12" si="3">SUM(C8:C11)</f>
        <v>431810000</v>
      </c>
      <c r="D12" s="11">
        <f t="shared" si="3"/>
        <v>15364550.290000001</v>
      </c>
      <c r="E12" s="11">
        <f t="shared" si="3"/>
        <v>79620797.259999976</v>
      </c>
      <c r="F12" s="11">
        <f t="shared" si="3"/>
        <v>0</v>
      </c>
      <c r="G12" s="11">
        <f t="shared" ref="G12:H12" si="4">SUM(G8:G11)</f>
        <v>79620797.259999976</v>
      </c>
      <c r="H12" s="11">
        <f t="shared" si="4"/>
        <v>352189202.74000001</v>
      </c>
      <c r="I12" s="37">
        <f t="shared" si="2"/>
        <v>0.81561150214214584</v>
      </c>
      <c r="J12" s="46"/>
      <c r="L12" s="139"/>
      <c r="M12" s="139"/>
      <c r="N12" s="139"/>
      <c r="O12" s="139"/>
      <c r="P12" s="139"/>
    </row>
    <row r="13" spans="1:20" s="5" customFormat="1" x14ac:dyDescent="0.2">
      <c r="A13" s="13" t="s">
        <v>13</v>
      </c>
      <c r="B13" s="14">
        <v>5000</v>
      </c>
      <c r="C13" s="14">
        <v>5000</v>
      </c>
      <c r="D13" s="14">
        <v>245973.49</v>
      </c>
      <c r="E13" s="14">
        <v>1094176.54</v>
      </c>
      <c r="F13" s="14">
        <v>2494915.3200000003</v>
      </c>
      <c r="G13" s="7">
        <f t="shared" si="0"/>
        <v>3589091.8600000003</v>
      </c>
      <c r="H13" s="7">
        <f t="shared" ref="H13" si="5">C13-G13</f>
        <v>-3584091.8600000003</v>
      </c>
      <c r="I13" s="40">
        <f t="shared" si="2"/>
        <v>-716.81837200000007</v>
      </c>
      <c r="J13" s="45"/>
      <c r="L13" s="139"/>
      <c r="M13" s="139"/>
      <c r="N13" s="139"/>
      <c r="O13" s="139"/>
      <c r="P13" s="139"/>
    </row>
    <row r="14" spans="1:20" s="5" customFormat="1" x14ac:dyDescent="0.25">
      <c r="A14" s="6" t="s">
        <v>14</v>
      </c>
      <c r="B14" s="7">
        <v>0</v>
      </c>
      <c r="C14" s="7">
        <v>0</v>
      </c>
      <c r="D14" s="7">
        <v>0</v>
      </c>
      <c r="E14" s="7">
        <v>1916.36</v>
      </c>
      <c r="F14" s="7">
        <v>0</v>
      </c>
      <c r="G14" s="7">
        <f t="shared" ref="G14" si="6">SUM(E14:F14)</f>
        <v>1916.36</v>
      </c>
      <c r="H14" s="7">
        <f t="shared" ref="H14" si="7">C14-G14</f>
        <v>-1916.36</v>
      </c>
      <c r="I14" s="40" t="str">
        <f t="shared" ref="I14" si="8">IF(C14=0,"NA",H14/C14)</f>
        <v>NA</v>
      </c>
      <c r="J14" s="45"/>
      <c r="K14" s="1"/>
      <c r="L14" s="138"/>
      <c r="M14" s="138"/>
      <c r="N14" s="138"/>
      <c r="O14" s="138"/>
      <c r="P14" s="138"/>
      <c r="Q14" s="1"/>
      <c r="R14" s="1"/>
      <c r="S14" s="1"/>
    </row>
    <row r="15" spans="1:20" s="5" customFormat="1" x14ac:dyDescent="0.25">
      <c r="A15" s="6" t="s">
        <v>21</v>
      </c>
      <c r="B15" s="7">
        <v>10045882.43</v>
      </c>
      <c r="C15" s="7">
        <v>11202279.060000001</v>
      </c>
      <c r="D15" s="7">
        <v>178781.70000000007</v>
      </c>
      <c r="E15" s="7">
        <v>1007185.0499999997</v>
      </c>
      <c r="F15" s="7">
        <v>145344.05000000002</v>
      </c>
      <c r="G15" s="7">
        <f t="shared" si="0"/>
        <v>1152529.0999999996</v>
      </c>
      <c r="H15" s="7">
        <f t="shared" ref="H15" si="9">C15-G15</f>
        <v>10049749.960000001</v>
      </c>
      <c r="I15" s="40">
        <f t="shared" ref="I15" si="10">IF(C15=0,"NA",H15/C15)</f>
        <v>0.89711655156714154</v>
      </c>
      <c r="J15" s="45"/>
      <c r="K15" s="138"/>
      <c r="L15" s="138"/>
      <c r="M15" s="138"/>
      <c r="N15" s="138"/>
      <c r="O15" s="1"/>
      <c r="P15" s="1"/>
      <c r="Q15" s="1"/>
      <c r="R15" s="1"/>
      <c r="S15" s="1"/>
      <c r="T15" s="1"/>
    </row>
    <row r="16" spans="1:20" s="5" customFormat="1" x14ac:dyDescent="0.25">
      <c r="A16" s="6" t="s">
        <v>22</v>
      </c>
      <c r="B16" s="7">
        <v>1000000</v>
      </c>
      <c r="C16" s="7">
        <v>1000000</v>
      </c>
      <c r="D16" s="7">
        <v>0</v>
      </c>
      <c r="E16" s="7">
        <v>737700</v>
      </c>
      <c r="F16" s="7">
        <v>0</v>
      </c>
      <c r="G16" s="7">
        <f t="shared" si="0"/>
        <v>737700</v>
      </c>
      <c r="H16" s="7">
        <f t="shared" ref="H16" si="11">C16-G16</f>
        <v>262300</v>
      </c>
      <c r="I16" s="40">
        <f t="shared" ref="I16" si="12">IF(C16=0,"NA",H16/C16)</f>
        <v>0.26229999999999998</v>
      </c>
      <c r="J16" s="45"/>
      <c r="K16" s="138"/>
      <c r="L16" s="138"/>
      <c r="M16" s="138"/>
      <c r="N16" s="138"/>
      <c r="O16" s="1"/>
      <c r="P16" s="1"/>
      <c r="Q16" s="1"/>
      <c r="R16" s="1"/>
      <c r="S16" s="1"/>
      <c r="T16" s="1"/>
    </row>
    <row r="17" spans="1:21" s="5" customFormat="1" x14ac:dyDescent="0.25">
      <c r="A17" s="6" t="s">
        <v>23</v>
      </c>
      <c r="B17" s="7">
        <v>18000000</v>
      </c>
      <c r="C17" s="7">
        <v>18000000</v>
      </c>
      <c r="D17" s="7">
        <v>0</v>
      </c>
      <c r="E17" s="7">
        <v>0</v>
      </c>
      <c r="F17" s="7">
        <v>0</v>
      </c>
      <c r="G17" s="7"/>
      <c r="H17" s="7"/>
      <c r="I17" s="40"/>
      <c r="J17" s="45"/>
      <c r="K17" s="138"/>
      <c r="L17" s="138"/>
      <c r="M17" s="138"/>
      <c r="N17" s="138"/>
      <c r="O17" s="1"/>
      <c r="P17" s="1"/>
      <c r="Q17" s="1"/>
      <c r="R17" s="1"/>
      <c r="S17" s="1"/>
      <c r="T17" s="1"/>
    </row>
    <row r="18" spans="1:21" s="5" customFormat="1" x14ac:dyDescent="0.25">
      <c r="A18" s="6" t="s">
        <v>34</v>
      </c>
      <c r="B18" s="7">
        <v>729323049.63999987</v>
      </c>
      <c r="C18" s="7">
        <v>453723966.15999991</v>
      </c>
      <c r="D18" s="7">
        <v>2428711.3199999994</v>
      </c>
      <c r="E18" s="7">
        <v>17365956.25</v>
      </c>
      <c r="F18" s="7">
        <v>45975104.640000008</v>
      </c>
      <c r="G18" s="7">
        <f t="shared" si="0"/>
        <v>63341060.890000008</v>
      </c>
      <c r="H18" s="7">
        <f>C18-G18</f>
        <v>390382905.26999992</v>
      </c>
      <c r="I18" s="40">
        <f t="shared" si="2"/>
        <v>0.86039736576827952</v>
      </c>
      <c r="J18" s="45"/>
      <c r="K18" s="138"/>
      <c r="L18" s="138"/>
      <c r="M18" s="138"/>
      <c r="N18" s="138"/>
      <c r="O18" s="1"/>
      <c r="P18" s="1"/>
      <c r="Q18" s="1"/>
      <c r="R18" s="1"/>
      <c r="S18" s="1"/>
      <c r="T18" s="1"/>
    </row>
    <row r="19" spans="1:21" s="5" customFormat="1" x14ac:dyDescent="0.25">
      <c r="A19" s="6" t="s">
        <v>26</v>
      </c>
      <c r="B19" s="7">
        <v>83403442</v>
      </c>
      <c r="C19" s="7">
        <v>83403442</v>
      </c>
      <c r="D19" s="7">
        <v>0</v>
      </c>
      <c r="E19" s="7">
        <v>19859400</v>
      </c>
      <c r="F19" s="7">
        <v>0</v>
      </c>
      <c r="G19" s="7">
        <f t="shared" si="0"/>
        <v>19859400</v>
      </c>
      <c r="H19" s="7">
        <f>C19-G19</f>
        <v>63544042</v>
      </c>
      <c r="I19" s="40">
        <f t="shared" si="2"/>
        <v>0.76188752497768619</v>
      </c>
      <c r="J19" s="46"/>
      <c r="K19" s="138"/>
      <c r="L19" s="138"/>
      <c r="M19" s="138"/>
      <c r="N19" s="138"/>
      <c r="O19" s="1"/>
      <c r="P19" s="1"/>
      <c r="Q19" s="1"/>
      <c r="R19" s="1"/>
      <c r="S19" s="1"/>
      <c r="T19" s="1"/>
    </row>
    <row r="20" spans="1:21" s="5" customFormat="1" x14ac:dyDescent="0.25">
      <c r="A20" s="6" t="s">
        <v>25</v>
      </c>
      <c r="B20" s="7">
        <v>5572080</v>
      </c>
      <c r="C20" s="7">
        <v>5572080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>C20-G20</f>
        <v>5572080</v>
      </c>
      <c r="I20" s="40">
        <f t="shared" si="2"/>
        <v>1</v>
      </c>
      <c r="J20" s="45"/>
      <c r="K20" s="138"/>
      <c r="L20" s="138"/>
      <c r="M20" s="138"/>
      <c r="N20" s="138"/>
      <c r="O20" s="1"/>
      <c r="P20" s="1"/>
      <c r="Q20" s="1"/>
      <c r="R20" s="1"/>
      <c r="S20" s="1"/>
      <c r="T20" s="1"/>
    </row>
    <row r="21" spans="1:21" s="5" customFormat="1" x14ac:dyDescent="0.25">
      <c r="A21" s="10" t="s">
        <v>27</v>
      </c>
      <c r="B21" s="11">
        <f t="shared" ref="B21:H21" si="13">SUM(B13:B20)</f>
        <v>847349454.06999981</v>
      </c>
      <c r="C21" s="11">
        <f t="shared" si="13"/>
        <v>572906767.21999991</v>
      </c>
      <c r="D21" s="11">
        <f t="shared" si="13"/>
        <v>2853466.5099999993</v>
      </c>
      <c r="E21" s="11">
        <f t="shared" si="13"/>
        <v>40066334.200000003</v>
      </c>
      <c r="F21" s="11">
        <f t="shared" si="13"/>
        <v>48615364.010000005</v>
      </c>
      <c r="G21" s="11">
        <f t="shared" si="13"/>
        <v>88681698.210000008</v>
      </c>
      <c r="H21" s="11">
        <f t="shared" si="13"/>
        <v>466225069.00999993</v>
      </c>
      <c r="I21" s="37">
        <f t="shared" si="2"/>
        <v>0.81378872739160102</v>
      </c>
      <c r="J21" s="46"/>
      <c r="K21" s="138"/>
      <c r="L21" s="138"/>
      <c r="M21" s="138"/>
      <c r="N21" s="138"/>
      <c r="O21" s="1"/>
      <c r="P21" s="1"/>
      <c r="Q21" s="1"/>
      <c r="R21" s="1"/>
      <c r="S21" s="1"/>
      <c r="T21" s="1"/>
    </row>
    <row r="22" spans="1:21" s="5" customFormat="1" ht="24.95" customHeight="1" x14ac:dyDescent="0.25">
      <c r="A22" s="13"/>
      <c r="B22" s="14"/>
      <c r="C22" s="14"/>
      <c r="D22" s="14"/>
      <c r="E22" s="14"/>
      <c r="F22" s="14"/>
      <c r="G22" s="14"/>
      <c r="H22" s="14"/>
      <c r="I22" s="16"/>
      <c r="J22" s="47"/>
      <c r="K22" s="138"/>
      <c r="L22" s="138"/>
      <c r="M22" s="138"/>
      <c r="N22" s="138"/>
      <c r="O22" s="1"/>
      <c r="P22" s="1"/>
      <c r="Q22" s="1"/>
      <c r="R22" s="1"/>
      <c r="S22" s="1"/>
      <c r="T22" s="1"/>
    </row>
    <row r="23" spans="1:21" s="5" customFormat="1" ht="24.95" customHeight="1" x14ac:dyDescent="0.25">
      <c r="A23" s="6" t="s">
        <v>28</v>
      </c>
      <c r="B23" s="7">
        <f>B12-B21</f>
        <v>-415559454.06999981</v>
      </c>
      <c r="C23" s="7">
        <f>C12-C21</f>
        <v>-141096767.21999991</v>
      </c>
      <c r="D23" s="7">
        <f>D12-D21</f>
        <v>12511083.780000001</v>
      </c>
      <c r="E23" s="7">
        <f>E12-E21</f>
        <v>39554463.059999973</v>
      </c>
      <c r="F23" s="7"/>
      <c r="G23" s="7">
        <f>G12-G21</f>
        <v>-9060900.9500000328</v>
      </c>
      <c r="H23" s="7">
        <f>H12-H21</f>
        <v>-114035866.26999992</v>
      </c>
      <c r="I23" s="17"/>
      <c r="J23" s="48"/>
      <c r="K23" s="138"/>
      <c r="L23" s="138"/>
      <c r="M23" s="138"/>
      <c r="N23" s="138"/>
      <c r="O23" s="1"/>
      <c r="P23" s="1"/>
      <c r="Q23" s="1"/>
      <c r="R23" s="1"/>
      <c r="S23" s="1"/>
      <c r="T23" s="1"/>
      <c r="U23" s="1"/>
    </row>
    <row r="24" spans="1:21" s="5" customFormat="1" x14ac:dyDescent="0.25">
      <c r="A24" s="8"/>
      <c r="B24" s="9"/>
      <c r="C24" s="9"/>
      <c r="D24" s="9"/>
      <c r="E24" s="9"/>
      <c r="F24" s="9"/>
      <c r="G24" s="9"/>
      <c r="H24" s="9"/>
      <c r="I24" s="18"/>
      <c r="J24" s="48"/>
      <c r="K24" s="138"/>
      <c r="L24" s="138"/>
      <c r="M24" s="138"/>
      <c r="N24" s="138"/>
      <c r="O24" s="1"/>
      <c r="P24" s="1"/>
      <c r="Q24" s="1"/>
      <c r="R24" s="1"/>
      <c r="S24" s="1"/>
      <c r="T24" s="1"/>
      <c r="U24" s="1"/>
    </row>
    <row r="25" spans="1:21" x14ac:dyDescent="0.25">
      <c r="A25" s="19" t="s">
        <v>78</v>
      </c>
      <c r="B25" s="21"/>
      <c r="C25" s="21"/>
      <c r="D25" s="21"/>
      <c r="E25" s="21">
        <v>364500000</v>
      </c>
      <c r="F25" s="21"/>
      <c r="G25" s="21">
        <f>E25</f>
        <v>364500000</v>
      </c>
      <c r="H25" s="21"/>
      <c r="I25" s="22"/>
      <c r="J25" s="47"/>
      <c r="K25" s="138"/>
      <c r="O25" s="1"/>
      <c r="P25" s="1"/>
    </row>
    <row r="26" spans="1:21" ht="15.75" thickBot="1" x14ac:dyDescent="0.3">
      <c r="A26" s="23" t="s">
        <v>29</v>
      </c>
      <c r="B26" s="25"/>
      <c r="C26" s="25"/>
      <c r="D26" s="25"/>
      <c r="E26" s="25">
        <f>SUM(E23:E25)</f>
        <v>404054463.05999994</v>
      </c>
      <c r="F26" s="25"/>
      <c r="G26" s="25">
        <f>SUM(G23:G25)</f>
        <v>355439099.04999995</v>
      </c>
      <c r="H26" s="25"/>
      <c r="I26" s="26"/>
      <c r="K26" s="138"/>
      <c r="O26" s="1"/>
      <c r="P26" s="1"/>
    </row>
    <row r="27" spans="1:21" x14ac:dyDescent="0.25">
      <c r="A27" s="5"/>
      <c r="B27" s="34"/>
      <c r="C27" s="34"/>
      <c r="D27" s="34"/>
      <c r="E27" s="34"/>
      <c r="F27" s="34"/>
      <c r="G27" s="34"/>
      <c r="H27" s="34"/>
      <c r="I27" s="5"/>
      <c r="K27" s="138"/>
      <c r="O27" s="1"/>
      <c r="P27" s="1"/>
    </row>
    <row r="28" spans="1:21" x14ac:dyDescent="0.25">
      <c r="K28" s="138"/>
      <c r="O28" s="1"/>
      <c r="P28" s="1"/>
    </row>
    <row r="29" spans="1:21" x14ac:dyDescent="0.25">
      <c r="D29" s="49"/>
      <c r="E29" s="1"/>
      <c r="F29" s="138"/>
      <c r="G29" s="138"/>
      <c r="H29" s="138"/>
      <c r="I29" s="138"/>
      <c r="J29" s="138"/>
    </row>
    <row r="30" spans="1:21" x14ac:dyDescent="0.25">
      <c r="D30" s="49"/>
      <c r="E30" s="1"/>
      <c r="F30" s="138"/>
      <c r="G30" s="138"/>
      <c r="H30" s="138"/>
      <c r="I30" s="138"/>
      <c r="J30" s="138"/>
    </row>
    <row r="31" spans="1:21" x14ac:dyDescent="0.25">
      <c r="D31" s="49"/>
      <c r="E31" s="1"/>
      <c r="F31" s="138"/>
      <c r="G31" s="138"/>
      <c r="H31" s="138"/>
      <c r="I31" s="138"/>
      <c r="J31" s="138"/>
    </row>
    <row r="32" spans="1:21" x14ac:dyDescent="0.25">
      <c r="D32" s="49"/>
      <c r="E32" s="1"/>
      <c r="F32" s="138"/>
      <c r="G32" s="138"/>
      <c r="H32" s="138"/>
      <c r="J32" s="138"/>
    </row>
    <row r="33" spans="3:10" x14ac:dyDescent="0.25">
      <c r="C33" s="1"/>
      <c r="D33" s="49"/>
      <c r="E33" s="1"/>
      <c r="F33" s="138"/>
      <c r="G33" s="138"/>
      <c r="H33" s="138"/>
      <c r="J33" s="138"/>
    </row>
    <row r="34" spans="3:10" x14ac:dyDescent="0.25">
      <c r="D34" s="49"/>
      <c r="E34" s="1"/>
      <c r="F34" s="138"/>
      <c r="G34" s="138"/>
      <c r="H34" s="138"/>
      <c r="J34" s="138"/>
    </row>
    <row r="35" spans="3:10" x14ac:dyDescent="0.25">
      <c r="D35" s="49"/>
      <c r="E35" s="1"/>
      <c r="F35" s="138"/>
      <c r="G35" s="138"/>
      <c r="H35" s="138"/>
      <c r="J35" s="138"/>
    </row>
    <row r="36" spans="3:10" x14ac:dyDescent="0.25">
      <c r="C36" s="1"/>
      <c r="D36" s="49"/>
      <c r="E36" s="1"/>
      <c r="F36" s="138"/>
      <c r="G36" s="138"/>
      <c r="H36" s="138"/>
      <c r="J36" s="138"/>
    </row>
    <row r="37" spans="3:10" x14ac:dyDescent="0.25">
      <c r="C37" s="1"/>
      <c r="D37" s="49"/>
      <c r="E37" s="1"/>
      <c r="F37" s="138"/>
      <c r="G37" s="138"/>
      <c r="H37" s="138"/>
      <c r="J37" s="138"/>
    </row>
    <row r="38" spans="3:10" x14ac:dyDescent="0.25">
      <c r="C38" s="1"/>
      <c r="D38" s="49"/>
      <c r="E38" s="1"/>
      <c r="F38" s="138"/>
      <c r="G38" s="138"/>
      <c r="H38" s="138"/>
      <c r="J38" s="138"/>
    </row>
    <row r="39" spans="3:10" x14ac:dyDescent="0.25">
      <c r="C39" s="1"/>
      <c r="D39" s="49"/>
      <c r="E39" s="1"/>
      <c r="F39" s="138"/>
      <c r="G39" s="138"/>
      <c r="H39" s="138"/>
      <c r="J39" s="138"/>
    </row>
    <row r="40" spans="3:10" x14ac:dyDescent="0.25">
      <c r="C40" s="1"/>
      <c r="D40" s="49"/>
      <c r="E40" s="1"/>
      <c r="F40" s="138"/>
      <c r="G40" s="138"/>
      <c r="H40" s="138"/>
      <c r="J40" s="138"/>
    </row>
    <row r="41" spans="3:10" x14ac:dyDescent="0.25">
      <c r="C41" s="1"/>
      <c r="D41" s="49"/>
      <c r="E41" s="1"/>
      <c r="F41" s="138"/>
      <c r="G41" s="138"/>
      <c r="H41" s="138"/>
      <c r="J41" s="138"/>
    </row>
    <row r="42" spans="3:10" x14ac:dyDescent="0.25">
      <c r="C42" s="1"/>
      <c r="D42" s="49"/>
      <c r="E42" s="1"/>
      <c r="F42" s="138"/>
      <c r="G42" s="138"/>
      <c r="H42" s="138"/>
      <c r="J42" s="138"/>
    </row>
    <row r="43" spans="3:10" x14ac:dyDescent="0.25">
      <c r="J43" s="138"/>
    </row>
    <row r="44" spans="3:10" x14ac:dyDescent="0.25">
      <c r="J44" s="138"/>
    </row>
    <row r="45" spans="3:10" x14ac:dyDescent="0.25">
      <c r="J45" s="138"/>
    </row>
    <row r="46" spans="3:10" x14ac:dyDescent="0.25">
      <c r="J46" s="138"/>
    </row>
    <row r="47" spans="3:10" x14ac:dyDescent="0.25">
      <c r="J47" s="138"/>
    </row>
    <row r="48" spans="3:10" x14ac:dyDescent="0.25">
      <c r="J48" s="138"/>
    </row>
    <row r="49" spans="9:9" x14ac:dyDescent="0.25">
      <c r="I49" s="31"/>
    </row>
    <row r="50" spans="9:9" x14ac:dyDescent="0.25">
      <c r="I50" s="31"/>
    </row>
    <row r="51" spans="9:9" x14ac:dyDescent="0.25">
      <c r="I51" s="31"/>
    </row>
    <row r="52" spans="9:9" x14ac:dyDescent="0.25">
      <c r="I52" s="31"/>
    </row>
    <row r="53" spans="9:9" x14ac:dyDescent="0.25">
      <c r="I53" s="31"/>
    </row>
    <row r="54" spans="9:9" x14ac:dyDescent="0.25">
      <c r="I54" s="31"/>
    </row>
    <row r="55" spans="9:9" x14ac:dyDescent="0.25">
      <c r="I55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6.85546875" style="31" customWidth="1"/>
    <col min="7" max="7" width="13.5703125" style="31" bestFit="1" customWidth="1"/>
    <col min="8" max="8" width="13.28515625" style="31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16384" width="9.140625" style="1"/>
  </cols>
  <sheetData>
    <row r="1" spans="1:19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19" ht="18.75" x14ac:dyDescent="0.3">
      <c r="A2" s="151" t="s">
        <v>76</v>
      </c>
      <c r="B2" s="151"/>
      <c r="C2" s="151"/>
      <c r="D2" s="151"/>
      <c r="E2" s="151"/>
      <c r="F2" s="151"/>
      <c r="G2" s="151"/>
      <c r="H2" s="151"/>
      <c r="I2" s="151"/>
    </row>
    <row r="3" spans="1:19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19" x14ac:dyDescent="0.25">
      <c r="A4" s="152">
        <v>44957</v>
      </c>
      <c r="B4" s="152"/>
      <c r="C4" s="152"/>
      <c r="D4" s="152"/>
      <c r="E4" s="152"/>
      <c r="F4" s="152"/>
      <c r="G4" s="152"/>
      <c r="H4" s="152"/>
      <c r="I4" s="152"/>
    </row>
    <row r="5" spans="1:19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19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19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M7" s="139"/>
      <c r="N7" s="139"/>
      <c r="O7" s="139"/>
      <c r="P7" s="139"/>
      <c r="Q7" s="139"/>
      <c r="R7" s="139"/>
    </row>
    <row r="8" spans="1:19" s="5" customFormat="1" x14ac:dyDescent="0.2">
      <c r="A8" s="6" t="s">
        <v>8</v>
      </c>
      <c r="B8" s="7">
        <v>11694445.880000001</v>
      </c>
      <c r="C8" s="7">
        <v>11694445.879999999</v>
      </c>
      <c r="D8" s="7">
        <v>275574.78000000003</v>
      </c>
      <c r="E8" s="7">
        <v>1746904.3400000008</v>
      </c>
      <c r="F8" s="7">
        <v>0</v>
      </c>
      <c r="G8" s="7">
        <f t="shared" ref="G8:G17" si="0">SUM(E8:F8)</f>
        <v>1746904.3400000008</v>
      </c>
      <c r="H8" s="7">
        <f t="shared" ref="H8:H12" si="1">C8-G8</f>
        <v>9947541.5399999991</v>
      </c>
      <c r="I8" s="40">
        <f>IF(C8=0,"NA",H8/C8)</f>
        <v>0.85062102489288705</v>
      </c>
      <c r="M8" s="139"/>
      <c r="N8" s="139"/>
      <c r="O8" s="139"/>
      <c r="P8" s="139"/>
      <c r="Q8" s="139"/>
      <c r="R8" s="139"/>
    </row>
    <row r="9" spans="1:19" s="5" customFormat="1" x14ac:dyDescent="0.2">
      <c r="A9" s="6" t="s">
        <v>9</v>
      </c>
      <c r="B9" s="7">
        <v>0</v>
      </c>
      <c r="C9" s="7">
        <v>0</v>
      </c>
      <c r="D9" s="7">
        <v>17773.95</v>
      </c>
      <c r="E9" s="7">
        <v>85863.28</v>
      </c>
      <c r="F9" s="7">
        <v>0</v>
      </c>
      <c r="G9" s="7">
        <f t="shared" si="0"/>
        <v>85863.28</v>
      </c>
      <c r="H9" s="7">
        <f t="shared" si="1"/>
        <v>-85863.28</v>
      </c>
      <c r="I9" s="40" t="str">
        <f t="shared" ref="I9:I18" si="2">IF(C9=0,"NA",H9/C9)</f>
        <v>NA</v>
      </c>
      <c r="M9" s="139"/>
      <c r="N9" s="139"/>
      <c r="O9" s="139"/>
      <c r="P9" s="139"/>
      <c r="Q9" s="139"/>
      <c r="R9" s="139"/>
    </row>
    <row r="10" spans="1:19" s="5" customFormat="1" x14ac:dyDescent="0.2">
      <c r="A10" s="6" t="s">
        <v>10</v>
      </c>
      <c r="B10" s="7">
        <v>1214494</v>
      </c>
      <c r="C10" s="7">
        <v>1214494</v>
      </c>
      <c r="D10" s="7">
        <v>60627.999999999978</v>
      </c>
      <c r="E10" s="7">
        <v>626480</v>
      </c>
      <c r="F10" s="7">
        <v>0</v>
      </c>
      <c r="G10" s="7">
        <f t="shared" si="0"/>
        <v>626480</v>
      </c>
      <c r="H10" s="7">
        <f t="shared" si="1"/>
        <v>588014</v>
      </c>
      <c r="I10" s="40">
        <f t="shared" si="2"/>
        <v>0.48416377520185361</v>
      </c>
      <c r="M10" s="139"/>
      <c r="N10" s="139"/>
      <c r="O10" s="139"/>
      <c r="P10" s="139"/>
      <c r="Q10" s="139"/>
      <c r="R10" s="139"/>
    </row>
    <row r="11" spans="1:19" s="5" customFormat="1" x14ac:dyDescent="0.2">
      <c r="A11" s="6" t="s">
        <v>30</v>
      </c>
      <c r="B11" s="7">
        <v>53391815.120000005</v>
      </c>
      <c r="C11" s="7">
        <v>53391815.120000005</v>
      </c>
      <c r="D11" s="7">
        <v>6644946.2400000012</v>
      </c>
      <c r="E11" s="7">
        <v>36739640.959999979</v>
      </c>
      <c r="F11" s="7">
        <v>0</v>
      </c>
      <c r="G11" s="7">
        <f t="shared" si="0"/>
        <v>36739640.959999979</v>
      </c>
      <c r="H11" s="7">
        <f t="shared" si="1"/>
        <v>16652174.160000026</v>
      </c>
      <c r="I11" s="40">
        <f t="shared" si="2"/>
        <v>0.31188627175483119</v>
      </c>
      <c r="M11" s="139"/>
      <c r="N11" s="139"/>
      <c r="O11" s="139"/>
      <c r="P11" s="139"/>
      <c r="Q11" s="139"/>
      <c r="R11" s="139"/>
    </row>
    <row r="12" spans="1:19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40">
        <f t="shared" si="2"/>
        <v>1</v>
      </c>
      <c r="M12" s="139"/>
      <c r="N12" s="139"/>
      <c r="O12" s="139"/>
      <c r="P12" s="139"/>
      <c r="Q12" s="139"/>
      <c r="R12" s="139"/>
    </row>
    <row r="13" spans="1:19" s="5" customFormat="1" ht="24.95" customHeight="1" x14ac:dyDescent="0.2">
      <c r="A13" s="10" t="s">
        <v>12</v>
      </c>
      <c r="B13" s="11">
        <f>SUM(B8:B12)</f>
        <v>69100755</v>
      </c>
      <c r="C13" s="11">
        <f t="shared" ref="C13:H13" si="3">SUM(C8:C12)</f>
        <v>69100755</v>
      </c>
      <c r="D13" s="11">
        <f t="shared" si="3"/>
        <v>6998922.9700000016</v>
      </c>
      <c r="E13" s="11">
        <f t="shared" si="3"/>
        <v>39198888.579999983</v>
      </c>
      <c r="F13" s="11">
        <f t="shared" si="3"/>
        <v>0</v>
      </c>
      <c r="G13" s="11">
        <f t="shared" si="3"/>
        <v>39198888.579999983</v>
      </c>
      <c r="H13" s="11">
        <f t="shared" si="3"/>
        <v>29901866.420000024</v>
      </c>
      <c r="I13" s="37">
        <f t="shared" si="2"/>
        <v>0.43272850520953099</v>
      </c>
      <c r="M13" s="139"/>
      <c r="N13" s="139"/>
      <c r="O13" s="139"/>
      <c r="P13" s="139"/>
      <c r="Q13" s="139"/>
      <c r="R13" s="139"/>
    </row>
    <row r="14" spans="1:19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40" t="str">
        <f t="shared" si="2"/>
        <v>NA</v>
      </c>
      <c r="M14" s="139"/>
      <c r="N14" s="139"/>
      <c r="O14" s="139"/>
      <c r="P14" s="139"/>
      <c r="Q14" s="139"/>
      <c r="R14" s="139"/>
    </row>
    <row r="15" spans="1:19" s="5" customFormat="1" x14ac:dyDescent="0.2">
      <c r="A15" s="6" t="s">
        <v>20</v>
      </c>
      <c r="B15" s="7">
        <v>66790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40" t="str">
        <f t="shared" si="2"/>
        <v>NA</v>
      </c>
      <c r="M15" s="139"/>
      <c r="N15" s="139"/>
      <c r="O15" s="139"/>
      <c r="P15" s="139"/>
      <c r="Q15" s="139"/>
      <c r="R15" s="139"/>
    </row>
    <row r="16" spans="1:19" s="5" customFormat="1" x14ac:dyDescent="0.25">
      <c r="A16" s="6" t="s">
        <v>31</v>
      </c>
      <c r="B16" s="7">
        <v>68718996.969999984</v>
      </c>
      <c r="C16" s="7">
        <v>68620215.969999984</v>
      </c>
      <c r="D16" s="7">
        <v>6493014.1500000013</v>
      </c>
      <c r="E16" s="7">
        <v>30586604.019999966</v>
      </c>
      <c r="F16" s="7">
        <v>6958340.0499999998</v>
      </c>
      <c r="G16" s="7">
        <f t="shared" si="0"/>
        <v>37544944.069999963</v>
      </c>
      <c r="H16" s="7">
        <f t="shared" si="4"/>
        <v>31075271.900000021</v>
      </c>
      <c r="I16" s="40">
        <f t="shared" si="2"/>
        <v>0.45285884721764491</v>
      </c>
      <c r="L16" s="1"/>
      <c r="M16" s="138"/>
      <c r="N16" s="138"/>
      <c r="O16" s="138"/>
      <c r="P16" s="138"/>
      <c r="Q16" s="138"/>
      <c r="R16" s="138"/>
      <c r="S16" s="1"/>
    </row>
    <row r="17" spans="1:22" s="5" customForma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40" t="str">
        <f t="shared" si="2"/>
        <v>NA</v>
      </c>
      <c r="L17" s="1"/>
      <c r="M17" s="1"/>
      <c r="N17" s="1"/>
      <c r="O17" s="1"/>
      <c r="P17" s="1"/>
      <c r="Q17" s="1"/>
      <c r="R17" s="1"/>
      <c r="S17" s="1"/>
    </row>
    <row r="18" spans="1:22" s="5" customFormat="1" ht="24.95" customHeight="1" x14ac:dyDescent="0.25">
      <c r="A18" s="10" t="s">
        <v>27</v>
      </c>
      <c r="B18" s="11">
        <f>SUM(B14:B17)</f>
        <v>68785786.969999984</v>
      </c>
      <c r="C18" s="11">
        <f t="shared" ref="C18:G18" si="5">SUM(C14:C17)</f>
        <v>68620215.969999984</v>
      </c>
      <c r="D18" s="11">
        <f t="shared" si="5"/>
        <v>6493014.1500000013</v>
      </c>
      <c r="E18" s="11">
        <f t="shared" si="5"/>
        <v>30586604.019999966</v>
      </c>
      <c r="F18" s="11">
        <f t="shared" si="5"/>
        <v>6958340.0499999998</v>
      </c>
      <c r="G18" s="11">
        <f t="shared" si="5"/>
        <v>37544944.069999963</v>
      </c>
      <c r="H18" s="11">
        <f t="shared" ref="H18" si="6">SUM(H14:H17)</f>
        <v>31075271.900000021</v>
      </c>
      <c r="I18" s="37">
        <f t="shared" si="2"/>
        <v>0.45285884721764491</v>
      </c>
      <c r="L18" s="1"/>
      <c r="M18" s="1"/>
      <c r="N18" s="1"/>
      <c r="O18" s="1"/>
      <c r="P18" s="1"/>
      <c r="Q18" s="1"/>
      <c r="R18" s="1"/>
      <c r="S18" s="1"/>
    </row>
    <row r="19" spans="1:22" s="5" customFormat="1" x14ac:dyDescent="0.25">
      <c r="A19" s="13"/>
      <c r="B19" s="14"/>
      <c r="C19" s="14"/>
      <c r="D19" s="14"/>
      <c r="E19" s="14"/>
      <c r="F19" s="14"/>
      <c r="G19" s="14"/>
      <c r="H19" s="14"/>
      <c r="I19" s="16"/>
      <c r="L19" s="1"/>
      <c r="M19" s="1"/>
      <c r="N19" s="1"/>
      <c r="O19" s="1"/>
      <c r="P19" s="1"/>
      <c r="Q19" s="1"/>
      <c r="R19" s="1"/>
      <c r="S19" s="1"/>
    </row>
    <row r="20" spans="1:22" s="5" customFormat="1" x14ac:dyDescent="0.25">
      <c r="A20" s="6" t="s">
        <v>28</v>
      </c>
      <c r="B20" s="7">
        <f>B13-B18</f>
        <v>314968.03000001609</v>
      </c>
      <c r="C20" s="7">
        <f>C13-C18</f>
        <v>480539.03000001609</v>
      </c>
      <c r="D20" s="7">
        <f>D13-D18</f>
        <v>505908.8200000003</v>
      </c>
      <c r="E20" s="7">
        <f>E13-E18</f>
        <v>8612284.5600000173</v>
      </c>
      <c r="F20" s="7"/>
      <c r="G20" s="7">
        <f>G13-G18</f>
        <v>1653944.5100000203</v>
      </c>
      <c r="H20" s="7">
        <f>H13-H18</f>
        <v>-1173405.4799999967</v>
      </c>
      <c r="I20" s="17"/>
      <c r="L20" s="1"/>
      <c r="M20" s="1"/>
      <c r="N20" s="1"/>
      <c r="O20" s="1"/>
      <c r="P20" s="1"/>
      <c r="Q20" s="1"/>
      <c r="R20" s="1"/>
      <c r="S20" s="1"/>
      <c r="T20" s="1"/>
    </row>
    <row r="21" spans="1:22" s="5" customFormat="1" x14ac:dyDescent="0.25">
      <c r="A21" s="8"/>
      <c r="B21" s="9"/>
      <c r="C21" s="9"/>
      <c r="D21" s="9"/>
      <c r="E21" s="9"/>
      <c r="F21" s="9"/>
      <c r="G21" s="9"/>
      <c r="H21" s="9"/>
      <c r="I21" s="18"/>
      <c r="L21" s="1"/>
      <c r="M21" s="1"/>
      <c r="N21" s="1"/>
      <c r="O21" s="1"/>
      <c r="P21" s="1"/>
      <c r="Q21" s="1"/>
      <c r="R21" s="1"/>
      <c r="S21" s="1"/>
      <c r="T21" s="1"/>
    </row>
    <row r="22" spans="1:22" s="5" customFormat="1" x14ac:dyDescent="0.25">
      <c r="A22" s="19" t="s">
        <v>78</v>
      </c>
      <c r="B22" s="21"/>
      <c r="C22" s="21"/>
      <c r="D22" s="21"/>
      <c r="E22" s="21">
        <v>18476000</v>
      </c>
      <c r="F22" s="21"/>
      <c r="G22" s="21">
        <f>E22</f>
        <v>18476000</v>
      </c>
      <c r="H22" s="21"/>
      <c r="I22" s="22"/>
      <c r="L22" s="1"/>
      <c r="M22" s="1"/>
      <c r="N22" s="1"/>
      <c r="O22" s="1"/>
      <c r="P22" s="1"/>
      <c r="Q22" s="1"/>
      <c r="R22" s="1"/>
      <c r="T22" s="1"/>
    </row>
    <row r="23" spans="1:22" s="5" customFormat="1" ht="24.95" customHeight="1" thickBot="1" x14ac:dyDescent="0.3">
      <c r="A23" s="23" t="s">
        <v>29</v>
      </c>
      <c r="B23" s="25"/>
      <c r="C23" s="25"/>
      <c r="D23" s="25"/>
      <c r="E23" s="25">
        <f>SUM(E20:E22)</f>
        <v>27088284.560000017</v>
      </c>
      <c r="F23" s="25"/>
      <c r="G23" s="25">
        <f>SUM(G20:G22)</f>
        <v>20129944.51000002</v>
      </c>
      <c r="H23" s="25"/>
      <c r="I23" s="26"/>
      <c r="L23" s="1"/>
      <c r="M23" s="1"/>
      <c r="N23" s="1"/>
      <c r="O23" s="1"/>
      <c r="P23" s="1"/>
      <c r="T23" s="1"/>
    </row>
    <row r="24" spans="1:22" s="5" customFormat="1" x14ac:dyDescent="0.25">
      <c r="A24" s="32"/>
      <c r="B24" s="34"/>
      <c r="C24" s="34"/>
      <c r="D24" s="34"/>
      <c r="E24" s="34"/>
      <c r="F24" s="34"/>
      <c r="G24" s="34"/>
      <c r="H24" s="34"/>
      <c r="K24" s="1"/>
      <c r="L24" s="1"/>
      <c r="M24" s="1"/>
      <c r="N24" s="1"/>
      <c r="O24" s="1"/>
      <c r="P24" s="1"/>
      <c r="Q24" s="1"/>
    </row>
    <row r="25" spans="1:22" s="5" customFormat="1" x14ac:dyDescent="0.25">
      <c r="B25" s="31"/>
      <c r="C25" s="31"/>
      <c r="D25" s="31"/>
      <c r="E25" s="14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 s="5" customFormat="1" x14ac:dyDescent="0.25">
      <c r="A26" s="1"/>
      <c r="B26" s="31"/>
      <c r="C26" s="31"/>
      <c r="D26" s="31"/>
      <c r="E26" s="31"/>
      <c r="F26" s="3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H27" s="1"/>
    </row>
    <row r="28" spans="1:22" x14ac:dyDescent="0.25">
      <c r="G28" s="1"/>
      <c r="H28" s="1"/>
    </row>
    <row r="29" spans="1:22" x14ac:dyDescent="0.25">
      <c r="G29" s="1"/>
      <c r="H29" s="1"/>
    </row>
    <row r="30" spans="1:22" x14ac:dyDescent="0.25">
      <c r="E30" s="1"/>
      <c r="F30" s="1"/>
      <c r="G30" s="1"/>
      <c r="H30" s="1"/>
    </row>
    <row r="31" spans="1:22" x14ac:dyDescent="0.25">
      <c r="G31" s="1"/>
      <c r="H31" s="1"/>
    </row>
    <row r="32" spans="1:22" x14ac:dyDescent="0.25">
      <c r="G32" s="1"/>
      <c r="H32" s="1"/>
    </row>
    <row r="33" spans="5:8" x14ac:dyDescent="0.25">
      <c r="E33" s="1"/>
      <c r="F33" s="1"/>
      <c r="G33" s="1"/>
      <c r="H33" s="1"/>
    </row>
    <row r="34" spans="5:8" x14ac:dyDescent="0.25">
      <c r="E34" s="1"/>
      <c r="F34" s="1"/>
      <c r="G34" s="1"/>
      <c r="H34" s="1"/>
    </row>
    <row r="35" spans="5:8" x14ac:dyDescent="0.25">
      <c r="E35" s="1"/>
      <c r="F35" s="1"/>
      <c r="G35" s="1"/>
      <c r="H35" s="1"/>
    </row>
    <row r="36" spans="5:8" x14ac:dyDescent="0.25">
      <c r="G36" s="1"/>
      <c r="H36" s="1"/>
    </row>
    <row r="37" spans="5:8" x14ac:dyDescent="0.25">
      <c r="H37" s="1"/>
    </row>
    <row r="38" spans="5:8" x14ac:dyDescent="0.25">
      <c r="H38" s="1"/>
    </row>
    <row r="39" spans="5:8" x14ac:dyDescent="0.25">
      <c r="H39" s="1"/>
    </row>
    <row r="40" spans="5:8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125589-3B97-4A8E-BFB5-F8CAEDF79A9D}">
  <ds:schemaRefs>
    <ds:schemaRef ds:uri="http://purl.org/dc/elements/1.1/"/>
    <ds:schemaRef ds:uri="http://schemas.openxmlformats.org/package/2006/metadata/core-properties"/>
    <ds:schemaRef ds:uri="http://purl.org/dc/dcmitype/"/>
    <ds:schemaRef ds:uri="fd92ff4e-e524-4e6b-bcac-5c88d6f646b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edc4a2e3-56ec-4fd2-a9db-893721e9ab6c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Dan Copeland</cp:lastModifiedBy>
  <cp:lastPrinted>2023-02-15T13:53:02Z</cp:lastPrinted>
  <dcterms:created xsi:type="dcterms:W3CDTF">2020-01-29T12:55:36Z</dcterms:created>
  <dcterms:modified xsi:type="dcterms:W3CDTF">2023-02-15T13:53:55Z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