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2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0" l="1"/>
  <c r="L19" i="10"/>
  <c r="L14" i="10"/>
  <c r="L13" i="10"/>
  <c r="L11" i="10"/>
  <c r="L10" i="10"/>
  <c r="L9" i="10"/>
  <c r="K21" i="10" l="1"/>
  <c r="K19" i="10"/>
  <c r="K18" i="10"/>
  <c r="K17" i="10"/>
  <c r="K14" i="10"/>
  <c r="K13" i="10"/>
  <c r="K11" i="10"/>
  <c r="K10" i="10"/>
  <c r="K9" i="10"/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I29" i="2"/>
  <c r="G29" i="2"/>
  <c r="H29" i="2" s="1"/>
  <c r="G14" i="4" l="1"/>
  <c r="H14" i="4" s="1"/>
  <c r="I14" i="4" s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20" i="4" l="1"/>
  <c r="G19" i="4"/>
  <c r="G18" i="4"/>
  <c r="G16" i="4"/>
  <c r="G15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C12" i="4" l="1"/>
  <c r="D12" i="4"/>
  <c r="E12" i="4"/>
  <c r="F12" i="4"/>
  <c r="B12" i="4"/>
  <c r="H15" i="4"/>
  <c r="I15" i="4" s="1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5" i="4"/>
  <c r="G17" i="3"/>
  <c r="G36" i="2"/>
  <c r="G33" i="1"/>
  <c r="C18" i="5"/>
  <c r="D18" i="5"/>
  <c r="E18" i="5"/>
  <c r="F18" i="5"/>
  <c r="B18" i="5"/>
  <c r="B21" i="4"/>
  <c r="C21" i="4"/>
  <c r="D21" i="4"/>
  <c r="E21" i="4"/>
  <c r="F21" i="4"/>
  <c r="H16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9" i="4"/>
  <c r="I19" i="4" s="1"/>
  <c r="H20" i="4"/>
  <c r="I20" i="4" s="1"/>
  <c r="H18" i="4"/>
  <c r="I18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3" i="4"/>
  <c r="D34" i="2"/>
  <c r="C34" i="2"/>
  <c r="B31" i="1"/>
  <c r="E15" i="3"/>
  <c r="E18" i="3" s="1"/>
  <c r="D15" i="3"/>
  <c r="B34" i="2"/>
  <c r="D31" i="1"/>
  <c r="C31" i="1"/>
  <c r="G12" i="1"/>
  <c r="G13" i="5"/>
  <c r="B23" i="4"/>
  <c r="H18" i="5"/>
  <c r="I18" i="5" s="1"/>
  <c r="G18" i="5"/>
  <c r="G12" i="4"/>
  <c r="E23" i="4"/>
  <c r="E26" i="4" s="1"/>
  <c r="D23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1" i="4"/>
  <c r="I21" i="4" s="1"/>
  <c r="C46" i="10"/>
  <c r="F51" i="10"/>
  <c r="G21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3" i="4"/>
  <c r="G26" i="4" s="1"/>
  <c r="H13" i="2"/>
  <c r="I8" i="2"/>
  <c r="H20" i="5"/>
  <c r="I13" i="5"/>
  <c r="G51" i="10"/>
  <c r="F53" i="10"/>
  <c r="D46" i="10"/>
  <c r="B55" i="10" s="1"/>
  <c r="I12" i="4"/>
  <c r="H23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<sst xmlns="http://schemas.openxmlformats.org/spreadsheetml/2006/main" count="267" uniqueCount="84">
  <si>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</si>
  <si>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</si>
  <si>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</si>
  <si>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</si>
  <si>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</si>
  <si>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</si>
  <si>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</si>
  <si>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</si>
  <si>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</si>
  <si>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</si>
  <si>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</si>
  <si>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</si>
  <si>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</si>
  <si>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</si>
  <si>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</si>
  <si>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</si>
  <si>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</si>
  <si>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</si>
  <si>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</si>
  <si>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</si>
  <si>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</si>
  <si>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</si>
  <si>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</si>
  <si>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</si>
  <si>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</si>
  <si>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</si>
  <si>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</si>
  <si>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</si>
  <si>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</si>
  <si>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</si>
  <si>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</si>
  <si>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</si>
  <si>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</si>
  <si>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</si>
  <si>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</si>
  <si>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</si>
  <si>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</si>
  <si>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</si>
  <si>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</si>
  <si>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</si>
  <si>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</si>
  <si>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</si>
  <si>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</si>
  <si>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</si>
  <si>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</si>
  <si>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</si>
  <si>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</si>
  <si>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</si>
  <si>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</si>
  <si>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</si>
  <si>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</si>
  <si>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</si>
  <si>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</si>
  <si>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</si>
  <si>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</si>
  <si>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</si>
  <si>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</si>
  <si>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</si>
  <si>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</si>
  <si>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</si>
  <si>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</si>
  <si>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</si>
  <si>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</si>
  <si>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</si>
  <si>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</si>
  <si>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</si>
  <si>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</si>
  <si>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</si>
  <si>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</si>
  <si>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</si>
  <si>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</si>
  <si>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</si>
  <si>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</si>
  <si>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</si>
  <si>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</si>
  <si>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</si>
  <si>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</si>
  <si>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</si>
  <si>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</si>
  <si>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</si>
  <si>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</si>
  <si>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$1,325,425,689</t>
  </si>
  <si>
    <t>GENERAL OPERATIONS YTD EXPENSES
$754,918,497</t>
  </si>
  <si>
    <t>(LOCAL &amp; OTHER)  Budgeted: $801,934,155  Actual: $765,545,091  95.46%
(STATE)  Budgeted: $503,709,795  Actual: $254,666,141   50.56%
TOTAL Budgeted: $1,305,643,950  Actual: $1,068,902,270   81.87%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</si>
</sst>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  <xf numFmtId="40" fontId="3" fillId="0" borderId="0" xfId="0" applyNumberFormat="1" applyFont="1" applyFill="1"/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3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570507192.51999605</c:v>
                </c:pt>
                <c:pt idx="1">
                  <c:v>754918496.70000422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793743435029499"/>
          <c:y val="0.27229138670783221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6.383728613662519E-2"/>
                  <c:y val="-3.653099074886442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6.8689533166428521E-2"/>
                  <c:y val="3.99803057057924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3553995319291104E-2"/>
                  <c:y val="8.86780760303409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4.9479462008071455E-2"/>
                  <c:y val="0.1206586482754535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2.5031103810118017E-2"/>
                  <c:y val="1.473829170507424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5798945392608368E-2"/>
                  <c:y val="4.41175882633852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9.0101222302076844E-2"/>
                  <c:y val="8.57907888453294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7.1238913591167199E-2"/>
                  <c:y val="-9.68589081512906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467070537.63000494</c:v>
                </c:pt>
                <c:pt idx="1">
                  <c:v>43288501.41999986</c:v>
                </c:pt>
                <c:pt idx="2">
                  <c:v>9458384.3000000101</c:v>
                </c:pt>
                <c:pt idx="3">
                  <c:v>214504.13000000003</c:v>
                </c:pt>
                <c:pt idx="4">
                  <c:v>7804074.3200000059</c:v>
                </c:pt>
                <c:pt idx="5">
                  <c:v>32318765.579999998</c:v>
                </c:pt>
                <c:pt idx="6">
                  <c:v>49795021.52999936</c:v>
                </c:pt>
                <c:pt idx="7">
                  <c:v>9981839.7699999977</c:v>
                </c:pt>
                <c:pt idx="8">
                  <c:v>76825611.899999917</c:v>
                </c:pt>
                <c:pt idx="9">
                  <c:v>38653080.310000002</c:v>
                </c:pt>
                <c:pt idx="10">
                  <c:v>18065280.600000001</c:v>
                </c:pt>
                <c:pt idx="11">
                  <c:v>695767.78</c:v>
                </c:pt>
                <c:pt idx="12">
                  <c:v>742538.67999999993</c:v>
                </c:pt>
                <c:pt idx="13">
                  <c:v>4588.75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$754,918,497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467070537.63000494</c:v>
                </c:pt>
                <c:pt idx="1">
                  <c:v>43288501.41999986</c:v>
                </c:pt>
                <c:pt idx="2">
                  <c:v>9458384.3000000101</c:v>
                </c:pt>
                <c:pt idx="3">
                  <c:v>214504.13000000003</c:v>
                </c:pt>
                <c:pt idx="4">
                  <c:v>7804074.3200000059</c:v>
                </c:pt>
                <c:pt idx="5">
                  <c:v>32318765.579999998</c:v>
                </c:pt>
                <c:pt idx="6">
                  <c:v>49795021.52999936</c:v>
                </c:pt>
                <c:pt idx="7">
                  <c:v>9981839.7699999977</c:v>
                </c:pt>
                <c:pt idx="8">
                  <c:v>76825611.899999917</c:v>
                </c:pt>
                <c:pt idx="9">
                  <c:v>38653080.310000002</c:v>
                </c:pt>
                <c:pt idx="10">
                  <c:v>18065280.600000001</c:v>
                </c:pt>
                <c:pt idx="11">
                  <c:v>695767.78</c:v>
                </c:pt>
                <c:pt idx="12">
                  <c:v>742538.67999999993</c:v>
                </c:pt>
                <c:pt idx="13">
                  <c:v>4588.75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81498080"/>
        <c:axId val="781496904"/>
      </c:barChart>
      <c:valAx>
        <c:axId val="781496904"/>
        <c:scaling>
          <c:orientation val="minMax"/>
          <c:max val="5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149808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7814980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1496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800395899.48000002</c:v>
                </c:pt>
                <c:pt idx="1">
                  <c:v>90000</c:v>
                </c:pt>
                <c:pt idx="2">
                  <c:v>503709794.62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758067088.58999979</c:v>
                </c:pt>
                <c:pt idx="1">
                  <c:v>7468252.8700000001</c:v>
                </c:pt>
                <c:pt idx="2">
                  <c:v>303357178.77999997</c:v>
                </c:pt>
                <c:pt idx="3">
                  <c:v>9749.380000000001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$765,545,091  95.46%
(STATE)  Budgeted: $503,709,795  Actual: $254,666,141   50.56%
TOTAL Budgeted: $1,305,643,950  Actual: $1,068,902,270   81.87%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$765,545,091  95.46%
(STATE)  Budgeted: $503,709,795  Actual: $254,666,141   50.56%
TOTAL Budgeted: $1,305,643,950  Actual: $1,068,902,270   81.87%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1498472"/>
        <c:axId val="66519284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$765,545,091  95.46%
(STATE)  Budgeted: $503,709,795  Actual: $254,666,141   50.56%
TOTAL Budgeted: $1,305,643,950  Actual: $1,068,902,270   81.87%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$765,545,091  95.46%
(STATE)  Budgeted: $503,709,795  Actual: $254,666,141   50.56%
TOTAL Budgeted: $1,305,643,950  Actual: $1,068,902,270   81.87%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$765,545,091  95.46%
(STATE)  Budgeted: $503,709,795  Actual: $254,666,141   50.56%
TOTAL Budgeted: $1,305,643,950  Actual: $1,068,902,270   81.87%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$765,545,091  95.46%
(STATE)  Budgeted: $503,709,795  Actual: $254,666,141   50.56%
TOTAL Budgeted: $1,305,643,950  Actual: $1,068,902,270   81.87%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781498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192840"/>
        <c:crosses val="autoZero"/>
        <c:auto val="1"/>
        <c:lblAlgn val="ctr"/>
        <c:lblOffset val="500"/>
        <c:noMultiLvlLbl val="0"/>
      </c:catAx>
      <c:valAx>
        <c:axId val="665192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1498472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$1,325,425,689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$754,918,497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$754,918,497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$801,934,155  Actual: $765,545,091  95.46%</a:t>
          </a:r>
        </a:p>
        <a:p xmlns:a="http://schemas.openxmlformats.org/drawingml/2006/main">
          <a:pPr algn="ctr"/>
          <a:r>
            <a:rPr lang="en-US" sz="1100"/>
            <a:t>(STATE)  Budgeted: $503,709,795  Actual: $254,666,141   50.56%</a:t>
          </a:r>
        </a:p>
        <a:p xmlns:a="http://schemas.openxmlformats.org/drawingml/2006/main">
          <a:pPr algn="ctr"/>
          <a:r>
            <a:rPr lang="en-US" sz="1100"/>
            <a:t>TOTAL Budgeted: $1,305,643,950  Actual: $1,068,902,270   81.87%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5.28515625" style="30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1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L1" s="138"/>
      <c r="M1" s="138"/>
      <c r="N1" s="138"/>
      <c r="O1" s="138"/>
      <c r="P1" s="138"/>
    </row>
    <row r="2" spans="1:19" ht="18.75" x14ac:dyDescent="0.3">
      <c r="A2" s="151" t="s">
        <v>72</v>
      </c>
      <c r="B2" s="151"/>
      <c r="C2" s="151"/>
      <c r="D2" s="151"/>
      <c r="E2" s="151"/>
      <c r="F2" s="151"/>
      <c r="G2" s="151"/>
      <c r="H2" s="151"/>
      <c r="I2" s="151"/>
      <c r="L2" s="138"/>
      <c r="M2" s="138"/>
      <c r="N2" s="138"/>
      <c r="O2" s="138"/>
      <c r="P2" s="138"/>
    </row>
    <row r="3" spans="1:1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L3" s="138"/>
      <c r="M3" s="138"/>
      <c r="N3" s="138"/>
      <c r="O3" s="138"/>
      <c r="P3" s="138"/>
    </row>
    <row r="4" spans="1:19" x14ac:dyDescent="0.25">
      <c r="A4" s="152">
        <v>44985</v>
      </c>
      <c r="B4" s="152"/>
      <c r="C4" s="152"/>
      <c r="D4" s="152"/>
      <c r="E4" s="152"/>
      <c r="F4" s="152"/>
      <c r="G4" s="152"/>
      <c r="H4" s="152"/>
      <c r="I4" s="152"/>
      <c r="L4" s="138"/>
      <c r="M4" s="138"/>
      <c r="N4" s="138"/>
      <c r="O4" s="138"/>
      <c r="P4" s="138"/>
    </row>
    <row r="5" spans="1:1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L5" s="138"/>
      <c r="M5" s="138"/>
      <c r="N5" s="138"/>
      <c r="O5" s="138"/>
      <c r="P5" s="138"/>
    </row>
    <row r="6" spans="1:1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L6" s="138"/>
      <c r="M6" s="138"/>
      <c r="N6" s="138"/>
      <c r="O6" s="138"/>
      <c r="P6" s="138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L7" s="138"/>
      <c r="M7" s="138"/>
      <c r="N7" s="138"/>
      <c r="O7" s="138"/>
      <c r="P7" s="138"/>
      <c r="Q7" s="138"/>
    </row>
    <row r="8" spans="1:19" s="5" customFormat="1" x14ac:dyDescent="0.2">
      <c r="A8" s="6" t="s">
        <v>8</v>
      </c>
      <c r="B8" s="7">
        <v>800385570.48000002</v>
      </c>
      <c r="C8" s="7">
        <v>800395899.48000002</v>
      </c>
      <c r="D8" s="7">
        <v>7855291.2700000005</v>
      </c>
      <c r="E8" s="7">
        <v>758067088.58999991</v>
      </c>
      <c r="F8" s="7">
        <v>0</v>
      </c>
      <c r="G8" s="7">
        <f t="shared" ref="G8:G28" si="0">SUM(E8:F8)</f>
        <v>758067088.58999991</v>
      </c>
      <c r="H8" s="7">
        <f t="shared" ref="H8:H11" si="1">C8-G8</f>
        <v>42328810.890000105</v>
      </c>
      <c r="I8" s="35">
        <f>IF(C8=0,"NA",H8/C8)</f>
        <v>5.2884842260561581E-2</v>
      </c>
      <c r="L8" s="138"/>
      <c r="M8" s="138"/>
      <c r="N8" s="138"/>
      <c r="O8" s="138"/>
      <c r="P8" s="138"/>
      <c r="Q8" s="138"/>
    </row>
    <row r="9" spans="1:19" s="5" customFormat="1" x14ac:dyDescent="0.2">
      <c r="A9" s="6" t="s">
        <v>9</v>
      </c>
      <c r="B9" s="7">
        <v>90000</v>
      </c>
      <c r="C9" s="7">
        <v>90000</v>
      </c>
      <c r="D9" s="7">
        <v>1798555.78</v>
      </c>
      <c r="E9" s="7">
        <v>7468252.8700000001</v>
      </c>
      <c r="F9" s="7">
        <v>0</v>
      </c>
      <c r="G9" s="7">
        <f>SUM(E9:F9)</f>
        <v>7468252.8700000001</v>
      </c>
      <c r="H9" s="7">
        <f>C9-G9</f>
        <v>-7378252.8700000001</v>
      </c>
      <c r="I9" s="35">
        <f t="shared" ref="I9:I28" si="2">IF(C9=0,"NA",H9/C9)</f>
        <v>-81.980587444444453</v>
      </c>
      <c r="L9" s="138"/>
      <c r="M9" s="138"/>
      <c r="N9" s="138"/>
      <c r="O9" s="138"/>
      <c r="P9" s="138"/>
      <c r="Q9" s="138"/>
    </row>
    <row r="10" spans="1:19" s="5" customFormat="1" x14ac:dyDescent="0.2">
      <c r="A10" s="6" t="s">
        <v>10</v>
      </c>
      <c r="B10" s="7">
        <v>502758836.51999998</v>
      </c>
      <c r="C10" s="7">
        <v>503709794.62</v>
      </c>
      <c r="D10" s="7">
        <v>48691038.280000001</v>
      </c>
      <c r="E10" s="7">
        <v>303357178.77999997</v>
      </c>
      <c r="F10" s="7">
        <v>0</v>
      </c>
      <c r="G10" s="7">
        <f t="shared" si="0"/>
        <v>303357178.77999997</v>
      </c>
      <c r="H10" s="7">
        <f t="shared" si="1"/>
        <v>200352615.84000003</v>
      </c>
      <c r="I10" s="35">
        <f t="shared" si="2"/>
        <v>0.39775405993672719</v>
      </c>
      <c r="L10" s="138"/>
      <c r="M10" s="138"/>
      <c r="N10" s="138"/>
      <c r="O10" s="138"/>
      <c r="P10" s="138"/>
      <c r="Q10" s="138"/>
    </row>
    <row r="11" spans="1:19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9749.3799999999992</v>
      </c>
      <c r="F11" s="7">
        <v>0</v>
      </c>
      <c r="G11" s="7">
        <f t="shared" si="0"/>
        <v>9749.3799999999992</v>
      </c>
      <c r="H11" s="7">
        <f t="shared" si="1"/>
        <v>1438506.62</v>
      </c>
      <c r="I11" s="35">
        <f t="shared" si="2"/>
        <v>0.99326819291616963</v>
      </c>
      <c r="L11" s="138"/>
      <c r="M11" s="138"/>
      <c r="N11" s="138"/>
      <c r="O11" s="138"/>
      <c r="P11" s="138"/>
      <c r="Q11" s="138"/>
    </row>
    <row r="12" spans="1:19" s="5" customFormat="1" ht="24.95" customHeigh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1305643950.0999999</v>
      </c>
      <c r="D12" s="11">
        <f t="shared" si="3"/>
        <v>58344885.329999998</v>
      </c>
      <c r="E12" s="11">
        <f t="shared" si="3"/>
        <v>1068902269.6199999</v>
      </c>
      <c r="F12" s="11">
        <f t="shared" si="3"/>
        <v>0</v>
      </c>
      <c r="G12" s="11">
        <f t="shared" si="3"/>
        <v>1068902269.6199999</v>
      </c>
      <c r="H12" s="11">
        <f t="shared" si="3"/>
        <v>236741680.48000014</v>
      </c>
      <c r="I12" s="36">
        <f t="shared" si="2"/>
        <v>0.18132177647808806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5">
      <c r="A13" s="12" t="s">
        <v>13</v>
      </c>
      <c r="B13" s="13">
        <v>706077410.91999996</v>
      </c>
      <c r="C13" s="13">
        <v>707225521.68000031</v>
      </c>
      <c r="D13" s="13">
        <v>85817890.340001881</v>
      </c>
      <c r="E13" s="13">
        <v>467070537.63000494</v>
      </c>
      <c r="F13" s="13">
        <v>3568072.6700000064</v>
      </c>
      <c r="G13" s="13">
        <f t="shared" si="0"/>
        <v>470638610.30000496</v>
      </c>
      <c r="H13" s="13">
        <f t="shared" ref="H13:H28" si="4">C13-G13</f>
        <v>236586911.37999535</v>
      </c>
      <c r="I13" s="35">
        <f t="shared" si="2"/>
        <v>0.33452824329357883</v>
      </c>
      <c r="L13" s="137"/>
      <c r="M13" s="137"/>
      <c r="N13" s="137"/>
      <c r="O13" s="137"/>
      <c r="P13" s="137"/>
      <c r="Q13" s="138"/>
    </row>
    <row r="14" spans="1:19" s="5" customFormat="1" x14ac:dyDescent="0.25">
      <c r="A14" s="6" t="s">
        <v>14</v>
      </c>
      <c r="B14" s="7">
        <v>138561844.03999999</v>
      </c>
      <c r="C14" s="7">
        <v>137991176.54000002</v>
      </c>
      <c r="D14" s="7">
        <v>7366420.049999929</v>
      </c>
      <c r="E14" s="7">
        <v>43288501.419999868</v>
      </c>
      <c r="F14" s="7">
        <v>1810741.3399999999</v>
      </c>
      <c r="G14" s="7">
        <f t="shared" si="0"/>
        <v>45099242.759999871</v>
      </c>
      <c r="H14" s="7">
        <f t="shared" si="4"/>
        <v>92891933.78000015</v>
      </c>
      <c r="I14" s="35">
        <f t="shared" si="2"/>
        <v>0.67317299634062633</v>
      </c>
      <c r="L14" s="137"/>
      <c r="M14" s="137"/>
      <c r="N14" s="137"/>
      <c r="O14" s="137"/>
      <c r="P14" s="137"/>
      <c r="Q14" s="138"/>
    </row>
    <row r="15" spans="1:19" s="5" customFormat="1" x14ac:dyDescent="0.25">
      <c r="A15" s="6" t="s">
        <v>15</v>
      </c>
      <c r="B15" s="7">
        <v>24523630.5</v>
      </c>
      <c r="C15" s="7">
        <v>19555141.34</v>
      </c>
      <c r="D15" s="7">
        <v>1359637.5300000005</v>
      </c>
      <c r="E15" s="7">
        <v>9458384.3000000101</v>
      </c>
      <c r="F15" s="7">
        <v>189299.09999999995</v>
      </c>
      <c r="G15" s="7">
        <f t="shared" si="0"/>
        <v>9647683.4000000097</v>
      </c>
      <c r="H15" s="7">
        <f t="shared" si="4"/>
        <v>9907457.9399999902</v>
      </c>
      <c r="I15" s="35">
        <f t="shared" si="2"/>
        <v>0.50664210336001536</v>
      </c>
      <c r="L15" s="137"/>
      <c r="M15" s="137"/>
      <c r="N15" s="137"/>
      <c r="O15" s="137"/>
      <c r="P15" s="137"/>
      <c r="Q15" s="138"/>
    </row>
    <row r="16" spans="1:19" s="5" customFormat="1" x14ac:dyDescent="0.2">
      <c r="A16" s="6" t="s">
        <v>16</v>
      </c>
      <c r="B16" s="7">
        <v>1135153.98</v>
      </c>
      <c r="C16" s="7">
        <v>1153198.98</v>
      </c>
      <c r="D16" s="7">
        <v>171682.13</v>
      </c>
      <c r="E16" s="7">
        <v>214504.13000000003</v>
      </c>
      <c r="F16" s="7">
        <v>4415</v>
      </c>
      <c r="G16" s="7">
        <f t="shared" si="0"/>
        <v>218919.13000000003</v>
      </c>
      <c r="H16" s="7">
        <f t="shared" si="4"/>
        <v>934279.85</v>
      </c>
      <c r="I16" s="35">
        <f t="shared" si="2"/>
        <v>0.81016361114020408</v>
      </c>
      <c r="M16" s="138"/>
      <c r="N16" s="138"/>
      <c r="O16" s="138"/>
      <c r="P16" s="138"/>
      <c r="Q16" s="138"/>
    </row>
    <row r="17" spans="1:19" s="5" customFormat="1" x14ac:dyDescent="0.2">
      <c r="A17" s="6" t="s">
        <v>17</v>
      </c>
      <c r="B17" s="7">
        <v>16664317.899999974</v>
      </c>
      <c r="C17" s="7">
        <v>16827694.009999976</v>
      </c>
      <c r="D17" s="7">
        <v>1314374.6900000051</v>
      </c>
      <c r="E17" s="7">
        <v>7804074.3200000012</v>
      </c>
      <c r="F17" s="7">
        <v>126622.69999999997</v>
      </c>
      <c r="G17" s="7">
        <f t="shared" si="0"/>
        <v>7930697.0200000014</v>
      </c>
      <c r="H17" s="7">
        <f t="shared" si="4"/>
        <v>8896996.9899999741</v>
      </c>
      <c r="I17" s="35">
        <f t="shared" si="2"/>
        <v>0.52871159795946321</v>
      </c>
      <c r="M17" s="138"/>
      <c r="N17" s="138"/>
      <c r="O17" s="138"/>
      <c r="P17" s="138"/>
      <c r="Q17" s="138"/>
    </row>
    <row r="18" spans="1:19" s="5" customFormat="1" x14ac:dyDescent="0.2">
      <c r="A18" s="6" t="s">
        <v>18</v>
      </c>
      <c r="B18" s="7">
        <v>44175446.220000006</v>
      </c>
      <c r="C18" s="7">
        <v>44286350.220000006</v>
      </c>
      <c r="D18" s="7">
        <v>1410527.6900000025</v>
      </c>
      <c r="E18" s="7">
        <v>32318765.580000002</v>
      </c>
      <c r="F18" s="7">
        <v>712926.64999999991</v>
      </c>
      <c r="G18" s="7">
        <f t="shared" si="0"/>
        <v>33031692.23</v>
      </c>
      <c r="H18" s="7">
        <f t="shared" si="4"/>
        <v>11254657.990000006</v>
      </c>
      <c r="I18" s="35">
        <f t="shared" si="2"/>
        <v>0.25413378917184576</v>
      </c>
      <c r="M18" s="138"/>
      <c r="N18" s="138"/>
      <c r="O18" s="138"/>
      <c r="P18" s="138"/>
      <c r="Q18" s="138"/>
    </row>
    <row r="19" spans="1:19" s="5" customFormat="1" x14ac:dyDescent="0.2">
      <c r="A19" s="6" t="s">
        <v>19</v>
      </c>
      <c r="B19" s="7">
        <v>74209903.609999985</v>
      </c>
      <c r="C19" s="7">
        <v>74181903.609999985</v>
      </c>
      <c r="D19" s="7">
        <v>7429609.3299999181</v>
      </c>
      <c r="E19" s="7">
        <v>49795021.529999897</v>
      </c>
      <c r="F19" s="7">
        <v>7827.45</v>
      </c>
      <c r="G19" s="7">
        <f t="shared" si="0"/>
        <v>49802848.9799999</v>
      </c>
      <c r="H19" s="7">
        <f t="shared" si="4"/>
        <v>24379054.630000085</v>
      </c>
      <c r="I19" s="35">
        <f t="shared" si="2"/>
        <v>0.32863883836372326</v>
      </c>
      <c r="M19" s="138"/>
      <c r="N19" s="138"/>
      <c r="O19" s="138"/>
      <c r="P19" s="138"/>
      <c r="Q19" s="138"/>
    </row>
    <row r="20" spans="1:19" s="5" customFormat="1" x14ac:dyDescent="0.2">
      <c r="A20" s="6" t="s">
        <v>20</v>
      </c>
      <c r="B20" s="7">
        <v>18798662.91</v>
      </c>
      <c r="C20" s="7">
        <v>18620758.91</v>
      </c>
      <c r="D20" s="7">
        <v>1054925.7899999998</v>
      </c>
      <c r="E20" s="7">
        <v>9981839.7699999958</v>
      </c>
      <c r="F20" s="7">
        <v>506149.32999999996</v>
      </c>
      <c r="G20" s="7">
        <f t="shared" si="0"/>
        <v>10487989.099999996</v>
      </c>
      <c r="H20" s="7">
        <f t="shared" si="4"/>
        <v>8132769.8100000042</v>
      </c>
      <c r="I20" s="35">
        <f t="shared" si="2"/>
        <v>0.43675823575764261</v>
      </c>
      <c r="M20" s="138"/>
      <c r="N20" s="138"/>
      <c r="O20" s="138"/>
      <c r="P20" s="138"/>
      <c r="Q20" s="138"/>
    </row>
    <row r="21" spans="1:19" s="5" customFormat="1" x14ac:dyDescent="0.2">
      <c r="A21" s="6" t="s">
        <v>21</v>
      </c>
      <c r="B21" s="7">
        <v>180228363.12999997</v>
      </c>
      <c r="C21" s="7">
        <v>178280928.12999994</v>
      </c>
      <c r="D21" s="7">
        <v>8930783.6299999282</v>
      </c>
      <c r="E21" s="7">
        <v>76825611.899999946</v>
      </c>
      <c r="F21" s="7">
        <v>27127811.989999998</v>
      </c>
      <c r="G21" s="7">
        <f t="shared" si="0"/>
        <v>103953423.88999994</v>
      </c>
      <c r="H21" s="7">
        <f t="shared" si="4"/>
        <v>74327504.239999995</v>
      </c>
      <c r="I21" s="35">
        <f t="shared" si="2"/>
        <v>0.41691225763532835</v>
      </c>
      <c r="M21" s="138"/>
      <c r="N21" s="138"/>
      <c r="O21" s="138"/>
      <c r="P21" s="138"/>
      <c r="Q21" s="138"/>
    </row>
    <row r="22" spans="1:19" s="5" customFormat="1" x14ac:dyDescent="0.2">
      <c r="A22" s="6" t="s">
        <v>22</v>
      </c>
      <c r="B22" s="7">
        <v>81128867.840000004</v>
      </c>
      <c r="C22" s="7">
        <v>84023425.74000001</v>
      </c>
      <c r="D22" s="7">
        <v>6389568.620000001</v>
      </c>
      <c r="E22" s="7">
        <v>38653080.310000002</v>
      </c>
      <c r="F22" s="7">
        <v>7127322.8799999999</v>
      </c>
      <c r="G22" s="7">
        <f t="shared" si="0"/>
        <v>45780403.190000005</v>
      </c>
      <c r="H22" s="7">
        <f t="shared" si="4"/>
        <v>38243022.550000004</v>
      </c>
      <c r="I22" s="35">
        <f t="shared" si="2"/>
        <v>0.45514714751500679</v>
      </c>
      <c r="M22" s="138"/>
      <c r="N22" s="138"/>
      <c r="O22" s="138"/>
      <c r="P22" s="138"/>
      <c r="Q22" s="138"/>
    </row>
    <row r="23" spans="1:19" s="5" customFormat="1" x14ac:dyDescent="0.2">
      <c r="A23" s="6" t="s">
        <v>23</v>
      </c>
      <c r="B23" s="7">
        <v>28852493.619999994</v>
      </c>
      <c r="C23" s="7">
        <v>31373945.829999991</v>
      </c>
      <c r="D23" s="7">
        <v>2366405.3900000029</v>
      </c>
      <c r="E23" s="7">
        <v>18065280.600000001</v>
      </c>
      <c r="F23" s="7">
        <v>1345152.4599999995</v>
      </c>
      <c r="G23" s="7">
        <f t="shared" si="0"/>
        <v>19410433.060000002</v>
      </c>
      <c r="H23" s="7">
        <f t="shared" si="4"/>
        <v>11963512.769999988</v>
      </c>
      <c r="I23" s="35">
        <f t="shared" si="2"/>
        <v>0.38131999190743782</v>
      </c>
      <c r="M23" s="138"/>
      <c r="N23" s="138"/>
      <c r="O23" s="138"/>
      <c r="P23" s="138"/>
      <c r="Q23" s="138"/>
    </row>
    <row r="24" spans="1:19" s="5" customFormat="1" x14ac:dyDescent="0.25">
      <c r="A24" s="6" t="s">
        <v>24</v>
      </c>
      <c r="B24" s="7">
        <v>1932771.7399999998</v>
      </c>
      <c r="C24" s="7">
        <v>1897063.7399999998</v>
      </c>
      <c r="D24" s="7">
        <v>151061.89000000001</v>
      </c>
      <c r="E24" s="7">
        <v>695767.78</v>
      </c>
      <c r="F24" s="7">
        <v>0</v>
      </c>
      <c r="G24" s="7">
        <f t="shared" si="0"/>
        <v>695767.78</v>
      </c>
      <c r="H24" s="7">
        <f t="shared" si="4"/>
        <v>1201295.9599999997</v>
      </c>
      <c r="I24" s="35">
        <f t="shared" si="2"/>
        <v>0.63323964011878686</v>
      </c>
      <c r="L24" s="1"/>
      <c r="M24" s="137"/>
      <c r="N24" s="137"/>
      <c r="O24" s="137"/>
      <c r="P24" s="137"/>
      <c r="Q24" s="137"/>
    </row>
    <row r="25" spans="1:19" s="5" customFormat="1" x14ac:dyDescent="0.25">
      <c r="A25" s="6" t="s">
        <v>31</v>
      </c>
      <c r="B25" s="7">
        <v>1005000</v>
      </c>
      <c r="C25" s="7">
        <v>1005000</v>
      </c>
      <c r="D25" s="7">
        <v>654279.78</v>
      </c>
      <c r="E25" s="7">
        <v>742538.67999999993</v>
      </c>
      <c r="F25" s="7">
        <v>0</v>
      </c>
      <c r="G25" s="7">
        <f t="shared" si="0"/>
        <v>742538.67999999993</v>
      </c>
      <c r="H25" s="7">
        <f t="shared" si="4"/>
        <v>262461.32000000007</v>
      </c>
      <c r="I25" s="35">
        <f t="shared" si="2"/>
        <v>0.26115554228855725</v>
      </c>
      <c r="L25" s="1"/>
      <c r="M25" s="137"/>
      <c r="N25" s="137"/>
      <c r="O25" s="137"/>
      <c r="P25" s="137"/>
      <c r="Q25" s="137"/>
    </row>
    <row r="26" spans="1:19" s="5" customFormat="1" x14ac:dyDescent="0.25">
      <c r="A26" s="6" t="s">
        <v>33</v>
      </c>
      <c r="B26" s="7">
        <v>1346246.49</v>
      </c>
      <c r="C26" s="7">
        <v>1166246.49</v>
      </c>
      <c r="D26" s="7">
        <v>1625</v>
      </c>
      <c r="E26" s="7">
        <v>4588.75</v>
      </c>
      <c r="F26" s="7">
        <v>0</v>
      </c>
      <c r="G26" s="7">
        <f t="shared" ref="G26" si="5">SUM(E26:F26)</f>
        <v>4588.75</v>
      </c>
      <c r="H26" s="7">
        <f t="shared" ref="H26" si="6">C26-G26</f>
        <v>1161657.74</v>
      </c>
      <c r="I26" s="35">
        <f t="shared" ref="I26" si="7">IF(C26=0,"NA",H26/C26)</f>
        <v>0.99606536865118456</v>
      </c>
      <c r="K26" s="1"/>
      <c r="L26" s="1"/>
      <c r="M26" s="137"/>
      <c r="N26" s="137"/>
      <c r="O26" s="137"/>
      <c r="P26" s="137"/>
      <c r="Q26" s="137"/>
      <c r="R26" s="1"/>
    </row>
    <row r="27" spans="1:19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5">
        <f t="shared" si="2"/>
        <v>1</v>
      </c>
      <c r="K27" s="1"/>
      <c r="L27" s="1"/>
      <c r="M27" s="137"/>
      <c r="N27" s="137"/>
      <c r="O27" s="137"/>
      <c r="P27" s="137"/>
      <c r="Q27" s="137"/>
      <c r="R27" s="1"/>
    </row>
    <row r="28" spans="1:19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5" t="str">
        <f t="shared" si="2"/>
        <v>NA</v>
      </c>
      <c r="K28" s="1"/>
      <c r="L28" s="1"/>
      <c r="M28" s="137"/>
      <c r="N28" s="137"/>
      <c r="O28" s="137"/>
      <c r="P28" s="137"/>
      <c r="Q28" s="137"/>
      <c r="R28" s="1"/>
    </row>
    <row r="29" spans="1:19" s="5" customFormat="1" ht="24.95" customHeight="1" x14ac:dyDescent="0.25">
      <c r="A29" s="10" t="s">
        <v>27</v>
      </c>
      <c r="B29" s="11">
        <f t="shared" ref="B29:H29" si="8">SUM(B13:B28)</f>
        <v>1326477446.8999996</v>
      </c>
      <c r="C29" s="11">
        <f t="shared" si="8"/>
        <v>1325425689.2200003</v>
      </c>
      <c r="D29" s="11">
        <f t="shared" si="8"/>
        <v>124418791.86000165</v>
      </c>
      <c r="E29" s="11">
        <f t="shared" si="8"/>
        <v>754918496.70000458</v>
      </c>
      <c r="F29" s="11">
        <f t="shared" si="8"/>
        <v>42526341.570000008</v>
      </c>
      <c r="G29" s="11">
        <f t="shared" si="8"/>
        <v>797444838.27000463</v>
      </c>
      <c r="H29" s="11">
        <f t="shared" si="8"/>
        <v>527980850.94999552</v>
      </c>
      <c r="I29" s="36">
        <f>IF(C29=0,"NA",H29/C29)</f>
        <v>0.39834813467415664</v>
      </c>
      <c r="L29" s="1"/>
      <c r="M29" s="1"/>
      <c r="N29" s="1"/>
      <c r="O29" s="1"/>
      <c r="P29" s="1"/>
      <c r="Q29" s="1"/>
      <c r="R29" s="1"/>
      <c r="S29" s="1"/>
    </row>
    <row r="30" spans="1:19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37"/>
      <c r="N30" s="137"/>
      <c r="O30" s="137"/>
      <c r="P30" s="137"/>
      <c r="Q30" s="137"/>
      <c r="R30" s="1"/>
    </row>
    <row r="31" spans="1:19" s="5" customFormat="1" ht="24.95" customHeight="1" x14ac:dyDescent="0.25">
      <c r="A31" s="6" t="s">
        <v>28</v>
      </c>
      <c r="B31" s="7">
        <f>B12-B29</f>
        <v>-21794783.899999619</v>
      </c>
      <c r="C31" s="7">
        <f>C12-C29</f>
        <v>-19781739.120000362</v>
      </c>
      <c r="D31" s="7">
        <f>D12-D29</f>
        <v>-66073906.530001655</v>
      </c>
      <c r="E31" s="7">
        <f>E12-E29</f>
        <v>313983772.91999531</v>
      </c>
      <c r="F31" s="7"/>
      <c r="G31" s="7">
        <f>G12-G29</f>
        <v>271457431.34999526</v>
      </c>
      <c r="H31" s="7"/>
      <c r="I31" s="16"/>
      <c r="K31" s="1"/>
      <c r="L31" s="1"/>
      <c r="M31" s="137"/>
      <c r="N31" s="137"/>
      <c r="O31" s="137"/>
      <c r="P31" s="137"/>
      <c r="Q31" s="137"/>
      <c r="R31" s="1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37"/>
      <c r="N32" s="137"/>
      <c r="O32" s="137"/>
      <c r="P32" s="137"/>
      <c r="Q32" s="137"/>
      <c r="R32" s="1"/>
    </row>
    <row r="33" spans="1:21" s="5" customFormat="1" x14ac:dyDescent="0.25">
      <c r="A33" s="146" t="s">
        <v>78</v>
      </c>
      <c r="B33" s="20"/>
      <c r="C33" s="20"/>
      <c r="D33" s="20"/>
      <c r="E33" s="20">
        <v>265464594.49999699</v>
      </c>
      <c r="F33" s="20"/>
      <c r="G33" s="20">
        <f>E33</f>
        <v>265464594.49999699</v>
      </c>
      <c r="H33" s="20"/>
      <c r="I33" s="21"/>
      <c r="K33" s="1"/>
      <c r="L33" s="1"/>
      <c r="M33" s="137"/>
      <c r="N33" s="137"/>
      <c r="O33" s="137"/>
      <c r="P33" s="137"/>
      <c r="Q33" s="137"/>
      <c r="R33" s="1"/>
      <c r="S33" s="1"/>
      <c r="T33" s="1"/>
      <c r="U33" s="1"/>
    </row>
    <row r="34" spans="1:21" s="5" customFormat="1" x14ac:dyDescent="0.25">
      <c r="A34" s="146" t="s">
        <v>79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37"/>
      <c r="N34" s="137"/>
      <c r="O34" s="137"/>
      <c r="P34" s="137"/>
      <c r="Q34" s="137"/>
      <c r="R34" s="1"/>
      <c r="S34" s="1"/>
      <c r="T34" s="1"/>
      <c r="U34" s="1"/>
    </row>
    <row r="35" spans="1:21" s="5" customFormat="1" ht="24.75" customHeight="1" x14ac:dyDescent="0.25">
      <c r="A35" s="18" t="s">
        <v>80</v>
      </c>
      <c r="B35" s="20"/>
      <c r="C35" s="20"/>
      <c r="D35" s="20"/>
      <c r="E35" s="20">
        <f>E33-E34</f>
        <v>220464594.49999699</v>
      </c>
      <c r="F35" s="20"/>
      <c r="G35" s="20">
        <f>E35</f>
        <v>220464594.49999699</v>
      </c>
      <c r="H35" s="20"/>
      <c r="I35" s="21"/>
      <c r="K35" s="1"/>
      <c r="L35" s="1"/>
      <c r="M35" s="137"/>
      <c r="N35" s="137"/>
      <c r="O35" s="137"/>
      <c r="P35" s="137"/>
      <c r="Q35" s="137"/>
      <c r="R35" s="1"/>
      <c r="S35" s="1"/>
      <c r="T35" s="1"/>
      <c r="U35" s="1"/>
    </row>
    <row r="36" spans="1:21" s="5" customFormat="1" ht="27.75" customHeight="1" thickBot="1" x14ac:dyDescent="0.3">
      <c r="A36" s="22" t="s">
        <v>29</v>
      </c>
      <c r="B36" s="24"/>
      <c r="C36" s="24"/>
      <c r="D36" s="24"/>
      <c r="E36" s="24">
        <f>+E35+E31</f>
        <v>534448367.41999233</v>
      </c>
      <c r="F36" s="24"/>
      <c r="G36" s="24">
        <f>+G35+G31</f>
        <v>491922025.84999228</v>
      </c>
      <c r="H36" s="24"/>
      <c r="I36" s="2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M37" s="1"/>
      <c r="N37" s="1"/>
      <c r="O37" s="1"/>
      <c r="P37" s="1"/>
      <c r="Q37" s="1"/>
    </row>
    <row r="38" spans="1:21" x14ac:dyDescent="0.25">
      <c r="M38" s="1"/>
      <c r="N38" s="1"/>
      <c r="O38" s="1"/>
      <c r="P38" s="1"/>
      <c r="Q38" s="1"/>
    </row>
    <row r="39" spans="1:21" x14ac:dyDescent="0.25">
      <c r="B39" s="1"/>
      <c r="C39" s="1"/>
      <c r="D39" s="1"/>
      <c r="E39" s="1"/>
      <c r="F39" s="1"/>
      <c r="G39" s="1"/>
      <c r="H39" s="1"/>
      <c r="M39" s="1"/>
      <c r="N39" s="1"/>
      <c r="O39" s="1"/>
      <c r="P39" s="1"/>
      <c r="Q39" s="1"/>
    </row>
    <row r="40" spans="1:21" x14ac:dyDescent="0.25">
      <c r="B40" s="1"/>
      <c r="C40" s="1"/>
      <c r="D40" s="1"/>
      <c r="E40" s="1"/>
      <c r="F40" s="1"/>
      <c r="G40" s="1"/>
      <c r="H40" s="1"/>
      <c r="M40" s="1"/>
      <c r="N40" s="1"/>
      <c r="O40" s="1"/>
      <c r="P40" s="1"/>
      <c r="Q40" s="1"/>
    </row>
    <row r="41" spans="1:21" x14ac:dyDescent="0.25">
      <c r="B41" s="1"/>
      <c r="C41" s="1"/>
      <c r="D41" s="1"/>
      <c r="E41" s="1"/>
      <c r="F41" s="1"/>
      <c r="G41" s="1"/>
      <c r="H41" s="1"/>
      <c r="M41" s="1"/>
      <c r="N41" s="1"/>
      <c r="O41" s="1"/>
      <c r="P41" s="1"/>
      <c r="Q41" s="1"/>
    </row>
    <row r="42" spans="1:21" x14ac:dyDescent="0.25">
      <c r="B42" s="137"/>
      <c r="C42" s="137"/>
      <c r="D42" s="137"/>
      <c r="E42" s="137"/>
      <c r="F42" s="137"/>
      <c r="G42" s="137"/>
      <c r="H42" s="137"/>
      <c r="I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37"/>
      <c r="I43" s="137"/>
    </row>
    <row r="44" spans="1:21" x14ac:dyDescent="0.25">
      <c r="B44" s="137"/>
      <c r="C44" s="137"/>
      <c r="D44" s="137"/>
      <c r="E44" s="137"/>
      <c r="F44" s="137"/>
      <c r="G44" s="1"/>
      <c r="H44" s="1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7"/>
      <c r="C56" s="137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7"/>
      <c r="C57" s="137"/>
      <c r="D57" s="137"/>
      <c r="E57" s="137"/>
      <c r="F57" s="1"/>
      <c r="G57" s="1"/>
      <c r="H57" s="1"/>
      <c r="M57" s="1"/>
      <c r="N57" s="1"/>
      <c r="O57" s="1"/>
      <c r="P57" s="1"/>
      <c r="Q57" s="1"/>
    </row>
    <row r="58" spans="2:17" x14ac:dyDescent="0.25">
      <c r="B58" s="137"/>
      <c r="C58" s="137"/>
      <c r="D58" s="137"/>
      <c r="E58" s="137"/>
      <c r="F58" s="1"/>
      <c r="G58" s="1"/>
      <c r="H58" s="1"/>
      <c r="M58" s="1"/>
      <c r="N58" s="1"/>
      <c r="O58" s="1"/>
      <c r="P58" s="1"/>
      <c r="Q58" s="1"/>
    </row>
    <row r="59" spans="2:17" x14ac:dyDescent="0.25">
      <c r="B59" s="137"/>
      <c r="C59" s="137"/>
      <c r="D59" s="137"/>
      <c r="E59" s="137"/>
      <c r="F59" s="1"/>
      <c r="G59" s="1"/>
      <c r="H59" s="1"/>
      <c r="M59" s="1"/>
      <c r="N59" s="1"/>
      <c r="O59" s="1"/>
      <c r="P59" s="1"/>
      <c r="Q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  <c r="L60" s="137"/>
      <c r="N60" s="1"/>
      <c r="O60" s="1"/>
      <c r="P60" s="1"/>
      <c r="Q60" s="1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  <c r="L61" s="137"/>
      <c r="P61" s="1"/>
      <c r="Q61" s="1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  <c r="L62" s="137"/>
      <c r="P62" s="1"/>
      <c r="Q62" s="1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A37" workbookViewId="0">
      <selection activeCell="C69" sqref="C69:C72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6" width="13.42578125" style="50" bestFit="1" customWidth="1"/>
    <col min="17" max="17" width="12.5703125" style="50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6" t="s">
        <v>77</v>
      </c>
      <c r="B1" s="157"/>
      <c r="C1" s="157"/>
      <c r="D1" s="157"/>
      <c r="E1" s="157"/>
      <c r="F1" s="157"/>
      <c r="G1" s="158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59" t="s">
        <v>40</v>
      </c>
      <c r="B3" s="160"/>
      <c r="C3" s="160"/>
      <c r="D3" s="160"/>
      <c r="E3" s="160"/>
      <c r="F3" s="160"/>
      <c r="G3" s="160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41</v>
      </c>
      <c r="C5" s="54" t="s">
        <v>42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43</v>
      </c>
      <c r="B6" s="56">
        <v>1325425689.2200003</v>
      </c>
      <c r="C6" s="57">
        <f>SUM(F25:Q25)</f>
        <v>754918496.70000422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44</v>
      </c>
      <c r="F7" s="61" t="s">
        <v>45</v>
      </c>
      <c r="G7" s="62" t="s">
        <v>46</v>
      </c>
      <c r="H7" s="62" t="s">
        <v>47</v>
      </c>
      <c r="I7" s="62" t="s">
        <v>48</v>
      </c>
      <c r="J7" s="62" t="s">
        <v>49</v>
      </c>
      <c r="K7" s="62" t="s">
        <v>50</v>
      </c>
      <c r="L7" s="62" t="s">
        <v>51</v>
      </c>
      <c r="M7" s="62" t="s">
        <v>52</v>
      </c>
      <c r="N7" s="62" t="s">
        <v>53</v>
      </c>
      <c r="O7" s="62" t="s">
        <v>54</v>
      </c>
      <c r="P7" s="62" t="s">
        <v>55</v>
      </c>
      <c r="Q7" s="63" t="s">
        <v>56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467070537.63000494</v>
      </c>
      <c r="F9" s="50">
        <f>9808420.78-801492.680000011</f>
        <v>9006928.0999999885</v>
      </c>
      <c r="G9" s="50">
        <f>12409518.8299999-402448.789999992</f>
        <v>12007070.039999908</v>
      </c>
      <c r="H9" s="50">
        <f>70514974.5300016+22512.8699983358</f>
        <v>70537487.399999931</v>
      </c>
      <c r="I9" s="50">
        <f>71835021.2100015+31672.38</f>
        <v>71866693.590001494</v>
      </c>
      <c r="J9" s="50">
        <f>68948166.4000016 + 5566429.94999957</f>
        <v>74514596.350001171</v>
      </c>
      <c r="K9" s="50">
        <f>72382507.6800014-14170.4900033473</f>
        <v>72368337.189998046</v>
      </c>
      <c r="L9" s="50">
        <f>70932368.2900015+19166.3300010561</f>
        <v>70951534.620002553</v>
      </c>
      <c r="M9" s="50">
        <v>85817890.340001881</v>
      </c>
      <c r="P9" s="51"/>
      <c r="Q9" s="51"/>
      <c r="R9" s="51" t="s">
        <v>13</v>
      </c>
      <c r="S9" s="99">
        <v>467070537.63000494</v>
      </c>
      <c r="T9" s="99">
        <f>S9-E9</f>
        <v>0</v>
      </c>
      <c r="U9" s="99">
        <v>19166.3300010561</v>
      </c>
    </row>
    <row r="10" spans="1:21" x14ac:dyDescent="0.2">
      <c r="B10" s="50"/>
      <c r="D10" s="52" t="s">
        <v>14</v>
      </c>
      <c r="E10" s="65">
        <f t="shared" ref="E10:E24" si="0">SUM(F10:Q10)</f>
        <v>43288501.41999986</v>
      </c>
      <c r="F10" s="50">
        <f>744217.770000002+10105.1699999985</f>
        <v>754322.94000000053</v>
      </c>
      <c r="G10" s="50">
        <f>1863052.67999999+6695.29000000283</f>
        <v>1869747.9699999928</v>
      </c>
      <c r="H10" s="50">
        <f>6535361.87999997+9897.4400000181</f>
        <v>6545259.3199999882</v>
      </c>
      <c r="I10" s="50">
        <v>6551632.0899999309</v>
      </c>
      <c r="J10" s="50">
        <f>6704104.91999993 + 9821.08000003173</f>
        <v>6713925.9999999618</v>
      </c>
      <c r="K10" s="50">
        <f>7025545.40999994+19794.8800001814</f>
        <v>7045340.2900001211</v>
      </c>
      <c r="L10" s="50">
        <f>6431955.31999996+9897.43999997526</f>
        <v>6441852.7599999355</v>
      </c>
      <c r="M10" s="50">
        <v>7366420.049999929</v>
      </c>
      <c r="P10" s="51"/>
      <c r="Q10" s="51"/>
      <c r="R10" s="51" t="s">
        <v>14</v>
      </c>
      <c r="S10" s="99">
        <v>43288501.419999868</v>
      </c>
      <c r="T10" s="99">
        <f t="shared" ref="T10:T24" si="1">S10-E10</f>
        <v>0</v>
      </c>
      <c r="U10" s="99">
        <v>9897.4399999752604</v>
      </c>
    </row>
    <row r="11" spans="1:21" x14ac:dyDescent="0.2">
      <c r="B11" s="50"/>
      <c r="D11" s="52" t="s">
        <v>15</v>
      </c>
      <c r="E11" s="65">
        <f t="shared" si="0"/>
        <v>9458384.3000000101</v>
      </c>
      <c r="F11" s="50">
        <f>1063610.27-3992.91000000014</f>
        <v>1059617.3599999999</v>
      </c>
      <c r="G11" s="50">
        <f>1799349.93+20302.8100000009</f>
        <v>1819652.7400000009</v>
      </c>
      <c r="H11" s="50">
        <f>1075530.85+6467.12999999802</f>
        <v>1081997.9799999981</v>
      </c>
      <c r="I11" s="50">
        <f>1072231.25+415.79</f>
        <v>1072647.04</v>
      </c>
      <c r="J11" s="50">
        <f>975226.580000001 -9337.46000000089</f>
        <v>965889.12000000011</v>
      </c>
      <c r="K11" s="50">
        <f>1120657.99+-19794.9199999952</f>
        <v>1100863.0700000047</v>
      </c>
      <c r="L11" s="50">
        <f>1007257.49-9178.0299999956</f>
        <v>998079.46000000439</v>
      </c>
      <c r="M11" s="50">
        <v>1359637.5300000005</v>
      </c>
      <c r="P11" s="51"/>
      <c r="Q11" s="51"/>
      <c r="R11" s="51" t="s">
        <v>15</v>
      </c>
      <c r="S11" s="99">
        <v>9458384.3000000101</v>
      </c>
      <c r="T11" s="99">
        <f t="shared" si="1"/>
        <v>0</v>
      </c>
      <c r="U11" s="99">
        <v>-9178.0299999956042</v>
      </c>
    </row>
    <row r="12" spans="1:21" x14ac:dyDescent="0.2">
      <c r="B12" s="50"/>
      <c r="D12" s="52" t="s">
        <v>16</v>
      </c>
      <c r="E12" s="65">
        <f t="shared" si="0"/>
        <v>214504.13000000003</v>
      </c>
      <c r="F12" s="50">
        <v>0</v>
      </c>
      <c r="G12" s="50">
        <v>350</v>
      </c>
      <c r="H12" s="50">
        <v>815.89999999999986</v>
      </c>
      <c r="I12" s="50">
        <v>0</v>
      </c>
      <c r="J12" s="50">
        <v>0</v>
      </c>
      <c r="K12" s="50">
        <v>44946.500000000036</v>
      </c>
      <c r="L12" s="50">
        <v>-3290.4</v>
      </c>
      <c r="M12" s="50">
        <v>171682.13</v>
      </c>
      <c r="P12" s="51"/>
      <c r="Q12" s="51"/>
      <c r="R12" s="51" t="s">
        <v>16</v>
      </c>
      <c r="S12" s="99">
        <v>214504.13000000003</v>
      </c>
      <c r="T12" s="99">
        <f t="shared" si="1"/>
        <v>0</v>
      </c>
      <c r="U12" s="99">
        <v>0</v>
      </c>
    </row>
    <row r="13" spans="1:21" x14ac:dyDescent="0.2">
      <c r="B13" s="50"/>
      <c r="D13" s="52" t="s">
        <v>17</v>
      </c>
      <c r="E13" s="65">
        <f t="shared" si="0"/>
        <v>7804074.3200000059</v>
      </c>
      <c r="F13" s="50">
        <v>48606.109999999986</v>
      </c>
      <c r="G13" s="50">
        <f>67238.6+3580.15000000013</f>
        <v>70818.750000000131</v>
      </c>
      <c r="H13" s="50">
        <f>1142256.26000001+1337.05999999167</f>
        <v>1143593.3200000017</v>
      </c>
      <c r="I13" s="50">
        <f>1147318.31+8164.14</f>
        <v>1155482.45</v>
      </c>
      <c r="J13" s="50">
        <v>1372314.1600000055</v>
      </c>
      <c r="K13" s="50">
        <f>1170647.16000001+6760.21999999601</f>
        <v>1177407.3800000059</v>
      </c>
      <c r="L13" s="50">
        <f>1440021.42000001+81456.0399999777</f>
        <v>1521477.4599999876</v>
      </c>
      <c r="M13" s="50">
        <v>1314374.6900000051</v>
      </c>
      <c r="P13" s="51"/>
      <c r="Q13" s="51"/>
      <c r="R13" s="51" t="s">
        <v>17</v>
      </c>
      <c r="S13" s="99">
        <v>7804074.3200000012</v>
      </c>
      <c r="T13" s="99">
        <f t="shared" si="1"/>
        <v>0</v>
      </c>
      <c r="U13" s="99">
        <v>81456.0399999777</v>
      </c>
    </row>
    <row r="14" spans="1:21" x14ac:dyDescent="0.2">
      <c r="B14" s="50"/>
      <c r="D14" s="52" t="s">
        <v>18</v>
      </c>
      <c r="E14" s="65">
        <f t="shared" si="0"/>
        <v>32318765.579999998</v>
      </c>
      <c r="F14" s="50">
        <f>902161.310000002-151.900000002235</f>
        <v>902009.4099999998</v>
      </c>
      <c r="G14" s="50">
        <f>1317728.15-234499.430000001</f>
        <v>1083228.7199999988</v>
      </c>
      <c r="H14" s="50">
        <f>1327756.7+11447.0299999974</f>
        <v>1339203.7299999974</v>
      </c>
      <c r="I14" s="50">
        <f>23715021.81+4963.6</f>
        <v>23719985.41</v>
      </c>
      <c r="J14" s="50">
        <f>1065313.77 + 9418.95999999344</f>
        <v>1074732.7299999935</v>
      </c>
      <c r="K14" s="50">
        <f>1315717.93+18904.8700000159</f>
        <v>1334622.8000000159</v>
      </c>
      <c r="L14" s="50">
        <f>1443954.77+10500.3199999928</f>
        <v>1454455.0899999929</v>
      </c>
      <c r="M14" s="50">
        <v>1410527.6900000025</v>
      </c>
      <c r="P14" s="51"/>
      <c r="Q14" s="51"/>
      <c r="R14" s="51" t="s">
        <v>18</v>
      </c>
      <c r="S14" s="99">
        <v>32318765.580000002</v>
      </c>
      <c r="T14" s="99">
        <f t="shared" si="1"/>
        <v>0</v>
      </c>
      <c r="U14" s="99">
        <v>10500.3199999928</v>
      </c>
    </row>
    <row r="15" spans="1:21" x14ac:dyDescent="0.2">
      <c r="A15" s="66" t="s">
        <v>57</v>
      </c>
      <c r="B15" s="130">
        <f>B6-C6</f>
        <v>570507192.51999605</v>
      </c>
      <c r="C15" s="67">
        <f>B15/$B$6</f>
        <v>0.43043317868369807</v>
      </c>
      <c r="D15" s="52" t="s">
        <v>19</v>
      </c>
      <c r="E15" s="65">
        <f t="shared" si="0"/>
        <v>49795021.52999936</v>
      </c>
      <c r="F15" s="50">
        <v>2459260.4699999653</v>
      </c>
      <c r="G15" s="50">
        <v>6304768.9399999185</v>
      </c>
      <c r="H15" s="50">
        <v>6721791.7899999144</v>
      </c>
      <c r="I15" s="50">
        <v>6719298.1699999161</v>
      </c>
      <c r="J15" s="50">
        <v>6680159.0899999151</v>
      </c>
      <c r="K15" s="50">
        <v>6782048.3999999026</v>
      </c>
      <c r="L15" s="50">
        <v>6698085.3399999151</v>
      </c>
      <c r="M15" s="50">
        <v>7429609.3299999181</v>
      </c>
      <c r="P15" s="51"/>
      <c r="Q15" s="51"/>
      <c r="R15" s="51" t="s">
        <v>19</v>
      </c>
      <c r="S15" s="99">
        <v>49795021.529999897</v>
      </c>
      <c r="T15" s="99">
        <f t="shared" si="1"/>
        <v>5.3644180297851563E-7</v>
      </c>
      <c r="U15" s="99">
        <v>5.3644180297851563E-7</v>
      </c>
    </row>
    <row r="16" spans="1:21" x14ac:dyDescent="0.2">
      <c r="A16" s="66" t="s">
        <v>58</v>
      </c>
      <c r="B16" s="130">
        <f>C6</f>
        <v>754918496.70000422</v>
      </c>
      <c r="C16" s="67">
        <f>B16/$B$6</f>
        <v>0.56956682131630187</v>
      </c>
      <c r="D16" s="52" t="s">
        <v>20</v>
      </c>
      <c r="E16" s="65">
        <f t="shared" si="0"/>
        <v>9981839.7699999977</v>
      </c>
      <c r="F16" s="50">
        <f>817085.08-53607.0499999998</f>
        <v>763478.03000000014</v>
      </c>
      <c r="G16" s="50">
        <f>2710418.49-144659.630000001</f>
        <v>2565758.8599999994</v>
      </c>
      <c r="H16" s="50">
        <f>1214035.99+2641.18000000063</f>
        <v>1216677.1700000006</v>
      </c>
      <c r="I16" s="50">
        <v>997356.99999999977</v>
      </c>
      <c r="J16" s="50">
        <f>911581.85 + 13540.5299999993</f>
        <v>925122.37999999931</v>
      </c>
      <c r="K16" s="50">
        <v>1590055.7599999998</v>
      </c>
      <c r="L16" s="50">
        <v>868464.77999999956</v>
      </c>
      <c r="M16" s="50">
        <v>1054925.7899999998</v>
      </c>
      <c r="P16" s="51"/>
      <c r="Q16" s="51"/>
      <c r="R16" s="51" t="s">
        <v>20</v>
      </c>
      <c r="S16" s="99">
        <v>9981839.7699999958</v>
      </c>
      <c r="T16" s="99">
        <f t="shared" si="1"/>
        <v>0</v>
      </c>
      <c r="U16" s="99">
        <v>0</v>
      </c>
    </row>
    <row r="17" spans="1:21" x14ac:dyDescent="0.2">
      <c r="A17" s="52"/>
      <c r="B17" s="49"/>
      <c r="C17" s="52"/>
      <c r="D17" s="68" t="s">
        <v>59</v>
      </c>
      <c r="E17" s="65">
        <f t="shared" si="0"/>
        <v>76825611.899999917</v>
      </c>
      <c r="F17" s="50">
        <f>7467041.91999999-482448.149999987</f>
        <v>6984593.7700000023</v>
      </c>
      <c r="G17" s="50">
        <f>11959707.38+127672.980000019</f>
        <v>12087380.36000002</v>
      </c>
      <c r="H17" s="50">
        <f>9749684.37999997+91950.9500000179</f>
        <v>9841635.329999987</v>
      </c>
      <c r="I17" s="50">
        <f>9963184.68999994+28391.17</f>
        <v>9991575.8599999398</v>
      </c>
      <c r="J17" s="50">
        <f>9465743.70999995 -574874.75999999</f>
        <v>8890868.9499999601</v>
      </c>
      <c r="K17" s="50">
        <f>10573443.54-2503.97999988496</f>
        <v>10570939.560000114</v>
      </c>
      <c r="L17" s="50">
        <v>9527834.4399999771</v>
      </c>
      <c r="M17" s="50">
        <v>8930783.6299999282</v>
      </c>
      <c r="P17" s="51"/>
      <c r="Q17" s="51"/>
      <c r="R17" s="51" t="s">
        <v>59</v>
      </c>
      <c r="S17" s="99">
        <v>76825611.899999946</v>
      </c>
      <c r="T17" s="99">
        <f t="shared" si="1"/>
        <v>0</v>
      </c>
      <c r="U17" s="99">
        <v>0</v>
      </c>
    </row>
    <row r="18" spans="1:21" x14ac:dyDescent="0.2">
      <c r="B18" s="69"/>
      <c r="C18" s="52"/>
      <c r="D18" s="52" t="s">
        <v>22</v>
      </c>
      <c r="E18" s="65">
        <f t="shared" si="0"/>
        <v>38653080.310000002</v>
      </c>
      <c r="F18" s="50">
        <f>1831401.06-160712.99</f>
        <v>1670688.07</v>
      </c>
      <c r="G18" s="50">
        <f>1933177.85-4670.81999999843</f>
        <v>1928507.0300000017</v>
      </c>
      <c r="H18" s="50">
        <f>5047251.77+6097.30999999865</f>
        <v>5053349.0799999982</v>
      </c>
      <c r="I18" s="50">
        <f>5254602.81-2338.28</f>
        <v>5252264.5299999993</v>
      </c>
      <c r="J18" s="50">
        <f>6405332.17-6089.17999999225</f>
        <v>6399242.9900000077</v>
      </c>
      <c r="K18" s="50">
        <f>6839632.45-746.83999999985</f>
        <v>6838885.6100000003</v>
      </c>
      <c r="L18" s="50">
        <v>5120574.38</v>
      </c>
      <c r="M18" s="50">
        <v>6389568.620000001</v>
      </c>
      <c r="P18" s="51"/>
      <c r="Q18" s="51"/>
      <c r="R18" s="51" t="s">
        <v>22</v>
      </c>
      <c r="S18" s="99">
        <v>38653080.310000002</v>
      </c>
      <c r="T18" s="99">
        <f t="shared" si="1"/>
        <v>0</v>
      </c>
      <c r="U18" s="99">
        <v>0</v>
      </c>
    </row>
    <row r="19" spans="1:21" x14ac:dyDescent="0.2">
      <c r="A19" s="52"/>
      <c r="B19" s="49"/>
      <c r="C19" s="52"/>
      <c r="D19" s="52" t="s">
        <v>23</v>
      </c>
      <c r="E19" s="65">
        <f t="shared" si="0"/>
        <v>18065280.600000001</v>
      </c>
      <c r="F19" s="50">
        <f>2565201.92-11227.7600000025</f>
        <v>2553974.1599999974</v>
      </c>
      <c r="G19" s="50">
        <f>2054985.04-314096.689999999</f>
        <v>1740888.350000001</v>
      </c>
      <c r="H19" s="50">
        <f>2540314.96+119.990000003948</f>
        <v>2540434.9500000039</v>
      </c>
      <c r="I19" s="50">
        <f>2196393.6+619.78</f>
        <v>2197013.38</v>
      </c>
      <c r="J19" s="50">
        <f>1840180.69 -49024.5200000051</f>
        <v>1791156.1699999948</v>
      </c>
      <c r="K19" s="50">
        <f>2141341.5+10303.9800000023</f>
        <v>2151645.4800000023</v>
      </c>
      <c r="L19" s="50">
        <f>2721008.96+2753.75999999791</f>
        <v>2723762.7199999979</v>
      </c>
      <c r="M19" s="50">
        <v>2366405.3900000029</v>
      </c>
      <c r="P19" s="51"/>
      <c r="Q19" s="51"/>
      <c r="R19" s="51" t="s">
        <v>23</v>
      </c>
      <c r="S19" s="99">
        <v>18065280.600000001</v>
      </c>
      <c r="T19" s="99">
        <f t="shared" si="1"/>
        <v>0</v>
      </c>
      <c r="U19" s="99">
        <v>2753.7599999979102</v>
      </c>
    </row>
    <row r="20" spans="1:21" x14ac:dyDescent="0.2">
      <c r="A20" s="52"/>
      <c r="B20" s="49"/>
      <c r="C20" s="52"/>
      <c r="D20" s="52" t="s">
        <v>24</v>
      </c>
      <c r="E20" s="65">
        <f t="shared" si="0"/>
        <v>695767.78</v>
      </c>
      <c r="F20" s="50">
        <v>6534.65</v>
      </c>
      <c r="G20" s="50">
        <v>38103.199999999997</v>
      </c>
      <c r="H20" s="50">
        <v>115769.70000000001</v>
      </c>
      <c r="I20" s="50">
        <v>102312.44</v>
      </c>
      <c r="J20" s="50">
        <v>122293.98000000001</v>
      </c>
      <c r="K20" s="50">
        <v>99612.91</v>
      </c>
      <c r="L20" s="50">
        <v>60079.009999999995</v>
      </c>
      <c r="M20" s="50">
        <v>151061.89000000001</v>
      </c>
      <c r="P20" s="51"/>
      <c r="Q20" s="51"/>
      <c r="R20" s="51" t="s">
        <v>24</v>
      </c>
      <c r="S20" s="99">
        <v>695767.78</v>
      </c>
      <c r="T20" s="99">
        <f t="shared" si="1"/>
        <v>0</v>
      </c>
      <c r="U20" s="99">
        <v>0</v>
      </c>
    </row>
    <row r="21" spans="1:21" x14ac:dyDescent="0.2">
      <c r="A21" s="52"/>
      <c r="B21" s="49"/>
      <c r="C21" s="52"/>
      <c r="D21" s="52" t="s">
        <v>31</v>
      </c>
      <c r="E21" s="65">
        <f t="shared" si="0"/>
        <v>742538.67999999993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f>96690.9-9478.5</f>
        <v>87212.4</v>
      </c>
      <c r="L21" s="50">
        <f>1672.4-625.900000000139</f>
        <v>1046.4999999998611</v>
      </c>
      <c r="M21" s="50">
        <v>654279.78</v>
      </c>
      <c r="P21" s="51"/>
      <c r="Q21" s="51"/>
      <c r="R21" s="51" t="s">
        <v>31</v>
      </c>
      <c r="S21" s="99">
        <v>742538.67999999993</v>
      </c>
      <c r="T21" s="99">
        <f t="shared" si="1"/>
        <v>0</v>
      </c>
      <c r="U21" s="99">
        <v>-625.90000000013902</v>
      </c>
    </row>
    <row r="22" spans="1:21" x14ac:dyDescent="0.2">
      <c r="A22" s="52"/>
      <c r="B22" s="49"/>
      <c r="C22" s="52"/>
      <c r="D22" s="52" t="s">
        <v>33</v>
      </c>
      <c r="E22" s="65">
        <f t="shared" si="0"/>
        <v>4588.75</v>
      </c>
      <c r="F22" s="50">
        <v>0</v>
      </c>
      <c r="G22" s="50">
        <v>0</v>
      </c>
      <c r="H22" s="50">
        <v>0</v>
      </c>
      <c r="I22" s="50">
        <v>420</v>
      </c>
      <c r="J22" s="50">
        <v>2543.75</v>
      </c>
      <c r="K22" s="50">
        <v>0</v>
      </c>
      <c r="L22" s="50">
        <v>0</v>
      </c>
      <c r="M22" s="50">
        <v>1625</v>
      </c>
      <c r="P22" s="51"/>
      <c r="Q22" s="51"/>
      <c r="R22" s="51" t="s">
        <v>33</v>
      </c>
      <c r="S22" s="99">
        <v>4588.75</v>
      </c>
      <c r="T22" s="99">
        <f t="shared" si="1"/>
        <v>0</v>
      </c>
      <c r="U22" s="99">
        <v>0</v>
      </c>
    </row>
    <row r="23" spans="1:21" x14ac:dyDescent="0.2">
      <c r="A23" s="52"/>
      <c r="B23" s="49"/>
      <c r="C23" s="52"/>
      <c r="D23" s="52" t="s">
        <v>26</v>
      </c>
      <c r="E23" s="65">
        <f t="shared" si="0"/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P23" s="51"/>
      <c r="Q23" s="51"/>
      <c r="R23" s="51" t="s">
        <v>26</v>
      </c>
      <c r="S23" s="99">
        <v>0</v>
      </c>
      <c r="T23" s="99">
        <f t="shared" si="1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25</v>
      </c>
      <c r="E24" s="65">
        <f t="shared" si="0"/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P24" s="51"/>
      <c r="Q24" s="51"/>
      <c r="R24" s="51" t="s">
        <v>25</v>
      </c>
      <c r="S24" s="99">
        <v>0</v>
      </c>
      <c r="T24" s="99">
        <f t="shared" si="1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60</v>
      </c>
      <c r="E25" s="71">
        <f>SUM(E9:E24)</f>
        <v>754918496.70000386</v>
      </c>
      <c r="F25" s="72">
        <f t="shared" ref="F25:Q25" si="2">SUM(F9:F24)</f>
        <v>26210013.069999952</v>
      </c>
      <c r="G25" s="72">
        <f t="shared" si="2"/>
        <v>41516274.959999844</v>
      </c>
      <c r="H25" s="72">
        <f t="shared" si="2"/>
        <v>106138015.66999985</v>
      </c>
      <c r="I25" s="72">
        <f t="shared" si="2"/>
        <v>129626681.96000127</v>
      </c>
      <c r="J25" s="72">
        <f t="shared" si="2"/>
        <v>109452845.67000102</v>
      </c>
      <c r="K25" s="72">
        <f t="shared" si="2"/>
        <v>111191917.34999824</v>
      </c>
      <c r="L25" s="72">
        <f t="shared" si="2"/>
        <v>106363956.16000237</v>
      </c>
      <c r="M25" s="72">
        <f t="shared" si="2"/>
        <v>124418791.86000165</v>
      </c>
      <c r="N25" s="72">
        <f t="shared" si="2"/>
        <v>0</v>
      </c>
      <c r="O25" s="72">
        <f t="shared" si="2"/>
        <v>0</v>
      </c>
      <c r="P25" s="72">
        <f t="shared" si="2"/>
        <v>0</v>
      </c>
      <c r="Q25" s="72">
        <f t="shared" si="2"/>
        <v>0</v>
      </c>
      <c r="S25" s="127">
        <v>0</v>
      </c>
      <c r="T25" s="127">
        <f t="shared" ref="T25:U25" si="3">SUM(T9:T24)</f>
        <v>5.3644180297851563E-7</v>
      </c>
      <c r="U25" s="127">
        <f t="shared" si="3"/>
        <v>113969.96000154047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1" t="s">
        <v>81</v>
      </c>
      <c r="C27" s="161"/>
      <c r="D27" s="161"/>
      <c r="E27" s="161"/>
      <c r="F27" s="161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1" t="str">
        <f>"GENERAL OPERATIONS" &amp; " YTD EXPENSES"&amp;CHAR(10)&amp;TEXT(C6,"$#,##0")</f>
        <v>GENERAL OPERATIONS YTD EXPENSES
$754,918,497</v>
      </c>
      <c r="C29" s="161"/>
      <c r="D29" s="161"/>
      <c r="E29" s="161"/>
      <c r="F29" s="161"/>
      <c r="G29" s="73"/>
      <c r="H29" s="131" t="s">
        <v>82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>
        <v>1197491160.8699994</v>
      </c>
      <c r="C31" s="52">
        <v>1139032581.8400021</v>
      </c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2" t="s">
        <v>61</v>
      </c>
      <c r="B37" s="163"/>
      <c r="C37" s="163"/>
      <c r="D37" s="163"/>
      <c r="E37" s="163"/>
      <c r="F37" s="164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62</v>
      </c>
      <c r="C39" s="79" t="s">
        <v>63</v>
      </c>
      <c r="D39" s="80" t="s">
        <v>64</v>
      </c>
      <c r="E39" s="81" t="s">
        <v>45</v>
      </c>
      <c r="F39" s="82" t="s">
        <v>46</v>
      </c>
      <c r="G39" s="82" t="s">
        <v>47</v>
      </c>
      <c r="H39" s="82" t="s">
        <v>48</v>
      </c>
      <c r="I39" s="82" t="s">
        <v>49</v>
      </c>
      <c r="J39" s="82" t="s">
        <v>50</v>
      </c>
      <c r="K39" s="82" t="s">
        <v>51</v>
      </c>
      <c r="L39" s="82" t="s">
        <v>52</v>
      </c>
      <c r="M39" s="82" t="s">
        <v>53</v>
      </c>
      <c r="N39" s="82" t="s">
        <v>54</v>
      </c>
      <c r="O39" s="82" t="s">
        <v>55</v>
      </c>
      <c r="P39" s="83" t="s">
        <v>56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800395899.48000002</v>
      </c>
      <c r="C40" s="86">
        <f>SUM(E40:P40)</f>
        <v>758067088.58999979</v>
      </c>
      <c r="D40" s="87">
        <f>C40/B40</f>
        <v>0.94711515773943822</v>
      </c>
      <c r="E40" s="134">
        <v>283416.8200000003</v>
      </c>
      <c r="F40" s="134">
        <v>23622403.879999999</v>
      </c>
      <c r="G40" s="134">
        <v>232065648.81</v>
      </c>
      <c r="H40" s="134">
        <v>175157418.03</v>
      </c>
      <c r="I40" s="134">
        <f>252258921.69 -2408354.35000002</f>
        <v>249850567.33999997</v>
      </c>
      <c r="J40" s="134">
        <v>54090759.909999996</v>
      </c>
      <c r="K40" s="134">
        <v>15141582.530000001</v>
      </c>
      <c r="L40" s="134">
        <v>7855291.2700000005</v>
      </c>
      <c r="M40" s="134"/>
      <c r="N40" s="134"/>
      <c r="O40" s="134"/>
      <c r="P40" s="134"/>
      <c r="R40" s="141"/>
      <c r="S40" s="147">
        <v>758067088.58999991</v>
      </c>
      <c r="T40" s="133">
        <f>S40-C40</f>
        <v>0</v>
      </c>
      <c r="U40" s="133">
        <v>0</v>
      </c>
    </row>
    <row r="41" spans="1:21" s="84" customFormat="1" x14ac:dyDescent="0.2">
      <c r="A41" s="84" t="s">
        <v>9</v>
      </c>
      <c r="B41" s="88">
        <v>90000</v>
      </c>
      <c r="C41" s="89">
        <f>SUM(E41:P41)</f>
        <v>7468252.8700000001</v>
      </c>
      <c r="D41" s="90">
        <f>C41/B41</f>
        <v>82.980587444444453</v>
      </c>
      <c r="E41" s="135">
        <v>186624.72</v>
      </c>
      <c r="F41" s="135">
        <v>225298.27</v>
      </c>
      <c r="G41" s="135">
        <v>278710.13</v>
      </c>
      <c r="H41" s="135">
        <v>614426.56999999995</v>
      </c>
      <c r="I41" s="135">
        <f>446568.35 + 635413.3</f>
        <v>1081981.6499999999</v>
      </c>
      <c r="J41" s="135">
        <v>1560074.4</v>
      </c>
      <c r="K41" s="135">
        <v>1722581.35</v>
      </c>
      <c r="L41" s="135">
        <v>1798555.78</v>
      </c>
      <c r="M41" s="135"/>
      <c r="N41" s="135"/>
      <c r="O41" s="135"/>
      <c r="P41" s="135"/>
      <c r="R41" s="141"/>
      <c r="S41" s="147">
        <v>7468252.8700000001</v>
      </c>
      <c r="T41" s="133">
        <f t="shared" ref="T41:T43" si="4">S41-C41</f>
        <v>0</v>
      </c>
      <c r="U41" s="133">
        <v>0</v>
      </c>
    </row>
    <row r="42" spans="1:21" s="84" customFormat="1" x14ac:dyDescent="0.2">
      <c r="A42" s="84" t="s">
        <v>10</v>
      </c>
      <c r="B42" s="88">
        <v>503709794.62</v>
      </c>
      <c r="C42" s="89">
        <f>SUM(E42:P42)</f>
        <v>303357178.77999997</v>
      </c>
      <c r="D42" s="90">
        <f>C42/B42</f>
        <v>0.60224594006327281</v>
      </c>
      <c r="E42" s="135">
        <v>5367835.4800000004</v>
      </c>
      <c r="F42" s="135">
        <f>5752262.79+40986.0000000074</f>
        <v>5793248.7900000075</v>
      </c>
      <c r="G42" s="135">
        <v>48556637</v>
      </c>
      <c r="H42" s="135">
        <v>48732788</v>
      </c>
      <c r="I42" s="135">
        <f>48714026 -38067.0000000298</f>
        <v>48675958.99999997</v>
      </c>
      <c r="J42" s="135">
        <v>48675959</v>
      </c>
      <c r="K42" s="135">
        <v>48863713.230000004</v>
      </c>
      <c r="L42" s="135">
        <v>48691038.280000001</v>
      </c>
      <c r="M42" s="135"/>
      <c r="N42" s="135"/>
      <c r="O42" s="135"/>
      <c r="P42" s="135"/>
      <c r="R42" s="141"/>
      <c r="S42" s="147">
        <v>303357178.77999997</v>
      </c>
      <c r="T42" s="133">
        <f t="shared" si="4"/>
        <v>0</v>
      </c>
      <c r="U42" s="133">
        <v>0</v>
      </c>
    </row>
    <row r="43" spans="1:21" s="84" customFormat="1" ht="13.5" thickBot="1" x14ac:dyDescent="0.25">
      <c r="A43" s="84" t="s">
        <v>11</v>
      </c>
      <c r="B43" s="91">
        <v>1448256</v>
      </c>
      <c r="C43" s="89">
        <f>SUM(E43:P43)</f>
        <v>9749.380000000001</v>
      </c>
      <c r="D43" s="92">
        <f>C43/B43</f>
        <v>6.7318070838304836E-3</v>
      </c>
      <c r="E43" s="136">
        <v>0</v>
      </c>
      <c r="F43" s="136">
        <v>9801</v>
      </c>
      <c r="G43" s="136">
        <v>0</v>
      </c>
      <c r="H43" s="136">
        <v>0</v>
      </c>
      <c r="I43" s="136">
        <v>0</v>
      </c>
      <c r="J43" s="136">
        <v>1091.3800000000001</v>
      </c>
      <c r="K43" s="136">
        <v>-1143</v>
      </c>
      <c r="L43" s="136">
        <v>0</v>
      </c>
      <c r="M43" s="136"/>
      <c r="N43" s="136"/>
      <c r="O43" s="136"/>
      <c r="P43" s="136"/>
      <c r="R43" s="142"/>
      <c r="S43" s="147">
        <v>9749.3799999999992</v>
      </c>
      <c r="T43" s="133">
        <f t="shared" si="4"/>
        <v>0</v>
      </c>
      <c r="U43" s="133">
        <v>0</v>
      </c>
    </row>
    <row r="44" spans="1:21" s="93" customFormat="1" ht="12.75" customHeight="1" thickBot="1" x14ac:dyDescent="0.25">
      <c r="B44" s="94">
        <f>SUM(B40:B43)</f>
        <v>1305643950.0999999</v>
      </c>
      <c r="C44" s="95">
        <f>SUM(C40:C43)</f>
        <v>1068902269.6199998</v>
      </c>
      <c r="D44" s="96">
        <f>C44/B44</f>
        <v>0.818678223521912</v>
      </c>
      <c r="E44" s="97">
        <f>SUM(E40:E43)</f>
        <v>5837877.0200000005</v>
      </c>
      <c r="F44" s="98">
        <f t="shared" ref="F44:P44" si="5">SUM(F40:F43)</f>
        <v>29650751.940000005</v>
      </c>
      <c r="G44" s="98">
        <f t="shared" si="5"/>
        <v>280900995.94</v>
      </c>
      <c r="H44" s="98">
        <f t="shared" si="5"/>
        <v>224504632.59999999</v>
      </c>
      <c r="I44" s="98">
        <f t="shared" si="5"/>
        <v>299608507.98999995</v>
      </c>
      <c r="J44" s="98">
        <f t="shared" si="5"/>
        <v>104327884.69</v>
      </c>
      <c r="K44" s="98">
        <f t="shared" si="5"/>
        <v>65726734.110000007</v>
      </c>
      <c r="L44" s="98">
        <f t="shared" si="5"/>
        <v>58344885.329999998</v>
      </c>
      <c r="M44" s="98">
        <f t="shared" si="5"/>
        <v>0</v>
      </c>
      <c r="N44" s="98">
        <f t="shared" si="5"/>
        <v>0</v>
      </c>
      <c r="O44" s="98">
        <f t="shared" si="5"/>
        <v>0</v>
      </c>
      <c r="P44" s="98">
        <f t="shared" si="5"/>
        <v>0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65</v>
      </c>
      <c r="B46" s="101">
        <f>+B40+B41+B43</f>
        <v>801934155.48000002</v>
      </c>
      <c r="C46" s="86">
        <f>+C40+C41+C43</f>
        <v>765545090.83999979</v>
      </c>
      <c r="D46" s="102">
        <f>C46/B46</f>
        <v>0.95462337600744862</v>
      </c>
      <c r="E46" s="103">
        <f>+E40+E41+E43</f>
        <v>470041.54000000027</v>
      </c>
      <c r="F46" s="103">
        <f t="shared" ref="F46:P46" si="6">+F40+F41+F43</f>
        <v>23857503.149999999</v>
      </c>
      <c r="G46" s="103">
        <f t="shared" si="6"/>
        <v>232344358.94</v>
      </c>
      <c r="H46" s="103">
        <f t="shared" si="6"/>
        <v>175771844.59999999</v>
      </c>
      <c r="I46" s="103">
        <f t="shared" si="6"/>
        <v>250932548.98999998</v>
      </c>
      <c r="J46" s="103">
        <f t="shared" si="6"/>
        <v>55651925.689999998</v>
      </c>
      <c r="K46" s="103">
        <f t="shared" si="6"/>
        <v>16863020.880000003</v>
      </c>
      <c r="L46" s="103">
        <f t="shared" si="6"/>
        <v>9653847.0500000007</v>
      </c>
      <c r="M46" s="103">
        <f t="shared" si="6"/>
        <v>0</v>
      </c>
      <c r="N46" s="103">
        <f t="shared" si="6"/>
        <v>0</v>
      </c>
      <c r="O46" s="103">
        <f t="shared" si="6"/>
        <v>0</v>
      </c>
      <c r="P46" s="103">
        <f t="shared" si="6"/>
        <v>0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66</v>
      </c>
      <c r="B47" s="104">
        <f>B42</f>
        <v>503709794.62</v>
      </c>
      <c r="C47" s="105">
        <f>C71</f>
        <v>303357178.77999997</v>
      </c>
      <c r="D47" s="106">
        <f>C47/B47</f>
        <v>0.60224594006327281</v>
      </c>
      <c r="E47" s="107">
        <f>E42</f>
        <v>5367835.4800000004</v>
      </c>
      <c r="F47" s="107">
        <f t="shared" ref="F47:P47" si="7">F42</f>
        <v>5793248.7900000075</v>
      </c>
      <c r="G47" s="107">
        <f t="shared" si="7"/>
        <v>48556637</v>
      </c>
      <c r="H47" s="107">
        <f t="shared" si="7"/>
        <v>48732788</v>
      </c>
      <c r="I47" s="107">
        <f t="shared" si="7"/>
        <v>48675958.99999997</v>
      </c>
      <c r="J47" s="107">
        <f t="shared" si="7"/>
        <v>48675959</v>
      </c>
      <c r="K47" s="107">
        <f t="shared" si="7"/>
        <v>48863713.230000004</v>
      </c>
      <c r="L47" s="107">
        <f t="shared" si="7"/>
        <v>48691038.280000001</v>
      </c>
      <c r="M47" s="107">
        <f t="shared" si="7"/>
        <v>0</v>
      </c>
      <c r="N47" s="107">
        <f t="shared" si="7"/>
        <v>0</v>
      </c>
      <c r="O47" s="107">
        <f t="shared" si="7"/>
        <v>0</v>
      </c>
      <c r="P47" s="107">
        <f t="shared" si="7"/>
        <v>0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1305643950.0999999</v>
      </c>
      <c r="C48" s="108">
        <f>SUM(E48:P48)</f>
        <v>1068902269.6200001</v>
      </c>
      <c r="D48" s="109">
        <f>C48/B48</f>
        <v>0.81867822352191222</v>
      </c>
      <c r="E48" s="110">
        <f>+E46+E47</f>
        <v>5837877.0200000005</v>
      </c>
      <c r="F48" s="111">
        <f t="shared" ref="F48:P48" si="8">+F46+F47</f>
        <v>29650751.940000005</v>
      </c>
      <c r="G48" s="111">
        <f t="shared" si="8"/>
        <v>280900995.94</v>
      </c>
      <c r="H48" s="111">
        <f t="shared" si="8"/>
        <v>224504632.59999999</v>
      </c>
      <c r="I48" s="111">
        <f t="shared" si="8"/>
        <v>299608507.98999995</v>
      </c>
      <c r="J48" s="111">
        <f t="shared" si="8"/>
        <v>104327884.69</v>
      </c>
      <c r="K48" s="111">
        <f t="shared" si="8"/>
        <v>65726734.110000007</v>
      </c>
      <c r="L48" s="111">
        <f t="shared" si="8"/>
        <v>58344885.329999998</v>
      </c>
      <c r="M48" s="111">
        <f t="shared" si="8"/>
        <v>0</v>
      </c>
      <c r="N48" s="111">
        <f t="shared" si="8"/>
        <v>0</v>
      </c>
      <c r="O48" s="111">
        <f t="shared" si="8"/>
        <v>0</v>
      </c>
      <c r="P48" s="112">
        <f t="shared" si="8"/>
        <v>0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4" t="s">
        <v>67</v>
      </c>
      <c r="D50" s="155"/>
      <c r="E50" s="113" t="s">
        <v>45</v>
      </c>
      <c r="F50" s="114" t="s">
        <v>46</v>
      </c>
      <c r="G50" s="114" t="s">
        <v>47</v>
      </c>
      <c r="H50" s="114" t="s">
        <v>48</v>
      </c>
      <c r="I50" s="114" t="s">
        <v>49</v>
      </c>
      <c r="J50" s="114" t="s">
        <v>50</v>
      </c>
      <c r="K50" s="114" t="s">
        <v>51</v>
      </c>
      <c r="L50" s="114" t="s">
        <v>52</v>
      </c>
      <c r="M50" s="114" t="s">
        <v>53</v>
      </c>
      <c r="N50" s="114" t="s">
        <v>54</v>
      </c>
      <c r="O50" s="114" t="s">
        <v>55</v>
      </c>
      <c r="P50" s="54" t="s">
        <v>56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65</v>
      </c>
      <c r="D51" s="51"/>
      <c r="E51" s="50">
        <f>E46</f>
        <v>470041.54000000027</v>
      </c>
      <c r="F51" s="50">
        <f>E51+F46</f>
        <v>24327544.689999998</v>
      </c>
      <c r="G51" s="50">
        <f t="shared" ref="G51:P52" si="9">F51+G46</f>
        <v>256671903.63</v>
      </c>
      <c r="H51" s="50">
        <f t="shared" si="9"/>
        <v>432443748.23000002</v>
      </c>
      <c r="I51" s="50">
        <f t="shared" si="9"/>
        <v>683376297.22000003</v>
      </c>
      <c r="J51" s="50">
        <f t="shared" si="9"/>
        <v>739028222.91000009</v>
      </c>
      <c r="K51" s="50">
        <f t="shared" si="9"/>
        <v>755891243.79000008</v>
      </c>
      <c r="L51" s="50">
        <f t="shared" si="9"/>
        <v>765545090.84000003</v>
      </c>
      <c r="M51" s="50">
        <f t="shared" si="9"/>
        <v>765545090.84000003</v>
      </c>
      <c r="N51" s="50">
        <f t="shared" si="9"/>
        <v>765545090.84000003</v>
      </c>
      <c r="O51" s="50">
        <f t="shared" si="9"/>
        <v>765545090.84000003</v>
      </c>
      <c r="P51" s="50">
        <f t="shared" si="9"/>
        <v>765545090.84000003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66</v>
      </c>
      <c r="D52" s="51"/>
      <c r="E52" s="50">
        <f>E47</f>
        <v>5367835.4800000004</v>
      </c>
      <c r="F52" s="50">
        <f>E52+F47</f>
        <v>11161084.270000007</v>
      </c>
      <c r="G52" s="50">
        <f t="shared" si="9"/>
        <v>59717721.270000011</v>
      </c>
      <c r="H52" s="50">
        <f t="shared" si="9"/>
        <v>108450509.27000001</v>
      </c>
      <c r="I52" s="50">
        <f t="shared" si="9"/>
        <v>157126468.26999998</v>
      </c>
      <c r="J52" s="50">
        <f t="shared" si="9"/>
        <v>205802427.26999998</v>
      </c>
      <c r="K52" s="50">
        <f t="shared" si="9"/>
        <v>254666140.5</v>
      </c>
      <c r="L52" s="50">
        <f t="shared" si="9"/>
        <v>303357178.77999997</v>
      </c>
      <c r="M52" s="50">
        <f t="shared" si="9"/>
        <v>303357178.77999997</v>
      </c>
      <c r="N52" s="50">
        <f t="shared" si="9"/>
        <v>303357178.77999997</v>
      </c>
      <c r="O52" s="50">
        <f t="shared" si="9"/>
        <v>303357178.77999997</v>
      </c>
      <c r="P52" s="50">
        <f t="shared" si="9"/>
        <v>303357178.77999997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68</v>
      </c>
      <c r="D53" s="51"/>
      <c r="E53" s="117">
        <f>+E51+E52</f>
        <v>5837877.0200000005</v>
      </c>
      <c r="F53" s="117">
        <f t="shared" ref="F53:P53" si="10">+F51+F52</f>
        <v>35488628.960000008</v>
      </c>
      <c r="G53" s="117">
        <f t="shared" si="10"/>
        <v>316389624.89999998</v>
      </c>
      <c r="H53" s="117">
        <f t="shared" si="10"/>
        <v>540894257.5</v>
      </c>
      <c r="I53" s="117">
        <f t="shared" si="10"/>
        <v>840502765.49000001</v>
      </c>
      <c r="J53" s="117">
        <f t="shared" si="10"/>
        <v>944830650.18000007</v>
      </c>
      <c r="K53" s="117">
        <f t="shared" si="10"/>
        <v>1010557384.2900001</v>
      </c>
      <c r="L53" s="117">
        <f t="shared" si="10"/>
        <v>1068902269.62</v>
      </c>
      <c r="M53" s="117">
        <f t="shared" si="10"/>
        <v>1068902269.62</v>
      </c>
      <c r="N53" s="117">
        <f t="shared" si="10"/>
        <v>1068902269.62</v>
      </c>
      <c r="O53" s="117">
        <f t="shared" si="10"/>
        <v>1068902269.62</v>
      </c>
      <c r="P53" s="117">
        <f t="shared" si="10"/>
        <v>1068902269.62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$801,934,155  Actual: $765,545,091  95.46%
(STATE)  Budgeted: $503,709,795  Actual: $303,357,179   60.22%
TOTAL Budgeted: $1,305,643,950  Actual: $1,068,902,270   81.87%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83</v>
      </c>
      <c r="T55" s="143"/>
      <c r="U55" s="143"/>
    </row>
    <row r="56" spans="1:21" x14ac:dyDescent="0.2">
      <c r="B56" s="153" t="str">
        <f>"(STATE)" &amp; CHAR(9) &amp; "Budgeted: " &amp; TEXT(B47,"$#,##0") &amp; CHAR(9) &amp; "Actual: " &amp; TEXT(C47,"$#,##0") &amp; "   " &amp; TEXT(D47,"###.00%")</f>
        <v>(STATE)	Budgeted: $503,709,795	Actual: $303,357,179   60.22%</v>
      </c>
      <c r="C56" s="153"/>
      <c r="D56" s="153"/>
      <c r="E56" s="153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3" t="str">
        <f>"TOTAL Budgeted: " &amp; TEXT(B48,"$#,##0") &amp; CHAR(9) &amp; "Actual: " &amp; TEXT(C48,"$#,##0") &amp; "   " &amp; TEXT(D48,"###.00%")</f>
        <v>TOTAL Budgeted: $1,305,643,950	Actual: $1,068,902,270   81.87%</v>
      </c>
      <c r="C57" s="153"/>
      <c r="D57" s="153"/>
      <c r="E57" s="153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36</v>
      </c>
      <c r="B60" s="122" t="s">
        <v>37</v>
      </c>
      <c r="P60" s="51"/>
      <c r="Q60" s="51"/>
      <c r="R60" s="51"/>
    </row>
    <row r="61" spans="1:21" s="99" customFormat="1" x14ac:dyDescent="0.2">
      <c r="A61" s="123" t="s">
        <v>8</v>
      </c>
      <c r="B61" s="124">
        <v>800395899.48000002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503709794.62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1448256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69</v>
      </c>
      <c r="B65" s="128">
        <f>SUM(B61:B64)</f>
        <v>1305643950.0999999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71</v>
      </c>
      <c r="C68" s="129" t="s">
        <v>70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800395899.48000002</v>
      </c>
      <c r="C69" s="50">
        <v>758067088.58999979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</v>
      </c>
      <c r="C70" s="50">
        <v>7468252.8700000001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503709794.62</v>
      </c>
      <c r="C71" s="50">
        <v>303357178.77999997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1448256</v>
      </c>
      <c r="C72" s="50">
        <v>9749.380000000001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8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6384" width="9.140625" style="1"/>
  </cols>
  <sheetData>
    <row r="1" spans="1:1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19" ht="18.75" x14ac:dyDescent="0.3">
      <c r="A2" s="151" t="s">
        <v>73</v>
      </c>
      <c r="B2" s="151"/>
      <c r="C2" s="151"/>
      <c r="D2" s="151"/>
      <c r="E2" s="151"/>
      <c r="F2" s="151"/>
      <c r="G2" s="151"/>
      <c r="H2" s="151"/>
      <c r="I2" s="151"/>
    </row>
    <row r="3" spans="1:1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19" x14ac:dyDescent="0.25">
      <c r="A4" s="152">
        <v>44985</v>
      </c>
      <c r="B4" s="152"/>
      <c r="C4" s="152"/>
      <c r="D4" s="152"/>
      <c r="E4" s="152"/>
      <c r="F4" s="152"/>
      <c r="G4" s="152"/>
      <c r="H4" s="152"/>
      <c r="I4" s="152"/>
    </row>
    <row r="5" spans="1:1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1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30993942.550000001</v>
      </c>
      <c r="C8" s="7">
        <v>31363942.550000001</v>
      </c>
      <c r="D8" s="7">
        <v>3340451.7500000009</v>
      </c>
      <c r="E8" s="7">
        <v>21591464.250000015</v>
      </c>
      <c r="F8" s="7">
        <v>0</v>
      </c>
      <c r="G8" s="7">
        <f t="shared" ref="G8:G12" si="0">SUM(E8:F8)</f>
        <v>21591464.250000015</v>
      </c>
      <c r="H8" s="7">
        <f t="shared" ref="H8:H12" si="1">C8-G8</f>
        <v>9772478.2999999858</v>
      </c>
      <c r="I8" s="16">
        <f>IF(C8=0,"",H8/C8)</f>
        <v>0.31158322281775719</v>
      </c>
      <c r="K8"/>
      <c r="L8" s="148"/>
      <c r="M8" s="148"/>
      <c r="N8" s="148"/>
      <c r="O8" s="148"/>
      <c r="P8" s="14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995.6</v>
      </c>
      <c r="E9" s="7">
        <v>5967.37</v>
      </c>
      <c r="F9" s="7">
        <v>0</v>
      </c>
      <c r="G9" s="7">
        <f t="shared" si="0"/>
        <v>5967.37</v>
      </c>
      <c r="H9" s="7">
        <f t="shared" si="1"/>
        <v>-5967.37</v>
      </c>
      <c r="I9" s="16" t="str">
        <f t="shared" ref="I9:I12" si="2">IF(C9=0,"",H9/C9)</f>
        <v/>
      </c>
      <c r="K9"/>
      <c r="L9" s="148"/>
      <c r="M9" s="148"/>
      <c r="N9" s="148"/>
      <c r="O9" s="148"/>
      <c r="P9" s="148"/>
    </row>
    <row r="10" spans="1:19" s="5" customFormat="1" x14ac:dyDescent="0.2">
      <c r="A10" s="6" t="s">
        <v>10</v>
      </c>
      <c r="B10" s="7">
        <v>15490840.710000001</v>
      </c>
      <c r="C10" s="7">
        <v>15250906.710000001</v>
      </c>
      <c r="D10" s="7">
        <v>1238870.94</v>
      </c>
      <c r="E10" s="7">
        <v>9664729.8800000008</v>
      </c>
      <c r="F10" s="7">
        <v>0</v>
      </c>
      <c r="G10" s="7">
        <f t="shared" si="0"/>
        <v>9664729.8800000008</v>
      </c>
      <c r="H10" s="7">
        <f t="shared" si="1"/>
        <v>5586176.8300000001</v>
      </c>
      <c r="I10" s="16">
        <f t="shared" si="2"/>
        <v>0.36628489939795844</v>
      </c>
      <c r="K10"/>
      <c r="L10" s="148"/>
      <c r="M10" s="148"/>
      <c r="N10" s="148"/>
      <c r="O10" s="148"/>
      <c r="P10" s="148"/>
    </row>
    <row r="11" spans="1:19" s="5" customFormat="1" x14ac:dyDescent="0.2">
      <c r="A11" s="6" t="s">
        <v>30</v>
      </c>
      <c r="B11" s="7">
        <v>428232611.45999998</v>
      </c>
      <c r="C11" s="7">
        <v>613072755.40999997</v>
      </c>
      <c r="D11" s="7">
        <v>2942879.0599999996</v>
      </c>
      <c r="E11" s="7">
        <v>92019597.480000019</v>
      </c>
      <c r="F11" s="7">
        <v>0</v>
      </c>
      <c r="G11" s="7">
        <f t="shared" si="0"/>
        <v>92019597.480000019</v>
      </c>
      <c r="H11" s="7">
        <f t="shared" si="1"/>
        <v>521053157.92999995</v>
      </c>
      <c r="I11" s="16">
        <f t="shared" si="2"/>
        <v>0.84990427862275375</v>
      </c>
      <c r="K11"/>
      <c r="L11" s="148"/>
      <c r="M11" s="148"/>
      <c r="N11" s="148"/>
      <c r="O11" s="148"/>
      <c r="P11" s="148"/>
    </row>
    <row r="12" spans="1:19" s="5" customFormat="1" x14ac:dyDescent="0.2">
      <c r="A12" s="8" t="s">
        <v>11</v>
      </c>
      <c r="B12" s="7">
        <v>4445423</v>
      </c>
      <c r="C12" s="7">
        <v>4446128</v>
      </c>
      <c r="D12" s="7">
        <v>65264.62</v>
      </c>
      <c r="E12" s="7">
        <v>355827.37</v>
      </c>
      <c r="F12" s="7">
        <v>0</v>
      </c>
      <c r="G12" s="7">
        <f t="shared" si="0"/>
        <v>355827.37</v>
      </c>
      <c r="H12" s="7">
        <f t="shared" si="1"/>
        <v>4090300.63</v>
      </c>
      <c r="I12" s="16">
        <f t="shared" si="2"/>
        <v>0.91996915743316432</v>
      </c>
      <c r="K12"/>
      <c r="L12" s="148"/>
      <c r="M12" s="148"/>
      <c r="N12" s="148"/>
      <c r="O12" s="148"/>
      <c r="P12" s="148"/>
    </row>
    <row r="13" spans="1:19" s="5" customFormat="1" ht="24.95" customHeight="1" x14ac:dyDescent="0.25">
      <c r="A13" s="10" t="s">
        <v>12</v>
      </c>
      <c r="B13" s="11">
        <f>SUM(B8:B12)</f>
        <v>479162817.71999997</v>
      </c>
      <c r="C13" s="11">
        <f t="shared" ref="C13:H13" si="3">SUM(C8:C12)</f>
        <v>664133732.66999996</v>
      </c>
      <c r="D13" s="11">
        <f t="shared" si="3"/>
        <v>7588461.9700000007</v>
      </c>
      <c r="E13" s="11">
        <f t="shared" si="3"/>
        <v>123637586.35000004</v>
      </c>
      <c r="F13" s="11">
        <f t="shared" si="3"/>
        <v>0</v>
      </c>
      <c r="G13" s="11">
        <f t="shared" si="3"/>
        <v>123637586.35000004</v>
      </c>
      <c r="H13" s="11">
        <f t="shared" si="3"/>
        <v>540496146.31999993</v>
      </c>
      <c r="I13" s="36">
        <f>IF(C13=0,"",H13/C13)</f>
        <v>0.81383630996585132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12" t="s">
        <v>13</v>
      </c>
      <c r="B14" s="13">
        <v>122237672.85000005</v>
      </c>
      <c r="C14" s="13">
        <v>242227475.40000004</v>
      </c>
      <c r="D14" s="13">
        <v>4425732.050000011</v>
      </c>
      <c r="E14" s="13">
        <v>33242855.029999986</v>
      </c>
      <c r="F14" s="13">
        <v>5863957.3400000045</v>
      </c>
      <c r="G14" s="13">
        <f t="shared" ref="G14:G31" si="4">SUM(E14:F14)</f>
        <v>39106812.36999999</v>
      </c>
      <c r="H14" s="13">
        <f t="shared" ref="H14:H31" si="5">C14-G14</f>
        <v>203120663.03000003</v>
      </c>
      <c r="I14" s="26">
        <f t="shared" ref="I14:I31" si="6">IF(C14=0,"",H14/C14)</f>
        <v>0.8385533585510011</v>
      </c>
      <c r="L14" s="138"/>
      <c r="M14" s="138"/>
      <c r="N14" s="138"/>
      <c r="O14" s="138"/>
      <c r="P14" s="138"/>
    </row>
    <row r="15" spans="1:19" s="5" customFormat="1" x14ac:dyDescent="0.2">
      <c r="A15" s="6" t="s">
        <v>14</v>
      </c>
      <c r="B15" s="7">
        <v>46476820.23999998</v>
      </c>
      <c r="C15" s="7">
        <v>34835761.250000007</v>
      </c>
      <c r="D15" s="7">
        <v>2040241.7700000014</v>
      </c>
      <c r="E15" s="7">
        <v>12706221.540000003</v>
      </c>
      <c r="F15" s="7">
        <v>1477599.6499999997</v>
      </c>
      <c r="G15" s="7">
        <f t="shared" si="4"/>
        <v>14183821.190000003</v>
      </c>
      <c r="H15" s="7">
        <f t="shared" si="5"/>
        <v>20651940.060000002</v>
      </c>
      <c r="I15" s="16">
        <f t="shared" si="6"/>
        <v>0.59283734067961547</v>
      </c>
      <c r="L15" s="138"/>
      <c r="M15" s="138"/>
      <c r="N15" s="138"/>
      <c r="O15" s="138"/>
      <c r="P15" s="138"/>
    </row>
    <row r="16" spans="1:19" s="5" customFormat="1" x14ac:dyDescent="0.2">
      <c r="A16" s="6" t="s">
        <v>15</v>
      </c>
      <c r="B16" s="7">
        <v>28698630.419999998</v>
      </c>
      <c r="C16" s="7">
        <v>4448813.0100000007</v>
      </c>
      <c r="D16" s="7">
        <v>265702.06999999995</v>
      </c>
      <c r="E16" s="7">
        <v>2588272.44</v>
      </c>
      <c r="F16" s="7">
        <v>333315.25</v>
      </c>
      <c r="G16" s="7">
        <f t="shared" si="4"/>
        <v>2921587.69</v>
      </c>
      <c r="H16" s="7">
        <f t="shared" si="5"/>
        <v>1527225.3200000008</v>
      </c>
      <c r="I16" s="16">
        <f t="shared" si="6"/>
        <v>0.34328826960519981</v>
      </c>
      <c r="L16" s="138"/>
      <c r="M16" s="138"/>
      <c r="N16" s="138"/>
      <c r="O16" s="138"/>
      <c r="P16" s="138"/>
    </row>
    <row r="17" spans="1:19" s="5" customFormat="1" x14ac:dyDescent="0.2">
      <c r="A17" s="6" t="s">
        <v>16</v>
      </c>
      <c r="B17" s="7">
        <v>47270868.819999956</v>
      </c>
      <c r="C17" s="7">
        <v>52067788.250000007</v>
      </c>
      <c r="D17" s="7">
        <v>1719187.1100000031</v>
      </c>
      <c r="E17" s="7">
        <v>12663250.860000003</v>
      </c>
      <c r="F17" s="7">
        <v>456164.38999999996</v>
      </c>
      <c r="G17" s="7">
        <f t="shared" si="4"/>
        <v>13119415.250000004</v>
      </c>
      <c r="H17" s="7">
        <f t="shared" si="5"/>
        <v>38948373</v>
      </c>
      <c r="I17" s="16">
        <f t="shared" si="6"/>
        <v>0.74803202342669117</v>
      </c>
      <c r="L17" s="138"/>
      <c r="M17" s="138"/>
      <c r="N17" s="138"/>
      <c r="O17" s="138"/>
      <c r="P17" s="138"/>
    </row>
    <row r="18" spans="1:19" s="5" customFormat="1" x14ac:dyDescent="0.2">
      <c r="A18" s="6" t="s">
        <v>17</v>
      </c>
      <c r="B18" s="7">
        <v>2893575</v>
      </c>
      <c r="C18" s="7">
        <v>6054091.7400000002</v>
      </c>
      <c r="D18" s="7">
        <v>5611.91</v>
      </c>
      <c r="E18" s="7">
        <v>32405.410000000003</v>
      </c>
      <c r="F18" s="7">
        <v>25009.96</v>
      </c>
      <c r="G18" s="7">
        <f t="shared" si="4"/>
        <v>57415.37</v>
      </c>
      <c r="H18" s="7">
        <f t="shared" si="5"/>
        <v>5996676.3700000001</v>
      </c>
      <c r="I18" s="16">
        <f t="shared" si="6"/>
        <v>0.99051627024072808</v>
      </c>
      <c r="L18" s="138"/>
      <c r="M18" s="138"/>
      <c r="N18" s="138"/>
      <c r="O18" s="138"/>
      <c r="P18" s="138"/>
    </row>
    <row r="19" spans="1:19" s="5" customFormat="1" x14ac:dyDescent="0.2">
      <c r="A19" s="6" t="s">
        <v>32</v>
      </c>
      <c r="B19" s="7">
        <v>-1313778.94</v>
      </c>
      <c r="C19" s="7">
        <v>8656715.3300000001</v>
      </c>
      <c r="D19" s="7">
        <v>328154.64999999997</v>
      </c>
      <c r="E19" s="7">
        <v>2831665.6700000009</v>
      </c>
      <c r="F19" s="7">
        <v>33818.6</v>
      </c>
      <c r="G19" s="7">
        <f>SUM(E19:F19)</f>
        <v>2865484.2700000009</v>
      </c>
      <c r="H19" s="7">
        <f>C19-G19</f>
        <v>5791231.0599999987</v>
      </c>
      <c r="I19" s="16">
        <f>IF(C19=0,"",H19/C19)</f>
        <v>0.66898712031460539</v>
      </c>
      <c r="L19" s="138"/>
      <c r="M19" s="138"/>
      <c r="N19" s="138"/>
      <c r="O19" s="138"/>
      <c r="P19" s="138"/>
    </row>
    <row r="20" spans="1:19" s="5" customFormat="1" x14ac:dyDescent="0.2">
      <c r="A20" s="6" t="s">
        <v>18</v>
      </c>
      <c r="B20" s="7">
        <v>52410582.200000003</v>
      </c>
      <c r="C20" s="7">
        <v>74975423.939999998</v>
      </c>
      <c r="D20" s="7">
        <v>100905.66</v>
      </c>
      <c r="E20" s="7">
        <v>859436.53</v>
      </c>
      <c r="F20" s="7">
        <v>4180.6399999999994</v>
      </c>
      <c r="G20" s="7">
        <f t="shared" si="4"/>
        <v>863617.17</v>
      </c>
      <c r="H20" s="7">
        <f t="shared" si="5"/>
        <v>74111806.769999996</v>
      </c>
      <c r="I20" s="16">
        <f t="shared" si="6"/>
        <v>0.98848132995298399</v>
      </c>
      <c r="L20" s="138"/>
      <c r="M20" s="138"/>
      <c r="N20" s="138"/>
      <c r="O20" s="138"/>
      <c r="P20" s="138"/>
    </row>
    <row r="21" spans="1:19" s="5" customFormat="1" x14ac:dyDescent="0.2">
      <c r="A21" s="6" t="s">
        <v>19</v>
      </c>
      <c r="B21" s="7">
        <v>28031712.98</v>
      </c>
      <c r="C21" s="7">
        <v>3692972.27</v>
      </c>
      <c r="D21" s="7">
        <v>19669.780000000002</v>
      </c>
      <c r="E21" s="7">
        <v>204394.41000000003</v>
      </c>
      <c r="F21" s="7">
        <v>0</v>
      </c>
      <c r="G21" s="7">
        <f t="shared" si="4"/>
        <v>204394.41000000003</v>
      </c>
      <c r="H21" s="7">
        <f t="shared" si="5"/>
        <v>3488577.86</v>
      </c>
      <c r="I21" s="16">
        <f t="shared" si="6"/>
        <v>0.94465314249435184</v>
      </c>
      <c r="L21" s="138"/>
      <c r="M21" s="138"/>
      <c r="N21" s="138"/>
      <c r="O21" s="138"/>
      <c r="P21" s="138"/>
    </row>
    <row r="22" spans="1:19" s="5" customFormat="1" x14ac:dyDescent="0.2">
      <c r="A22" s="6" t="s">
        <v>20</v>
      </c>
      <c r="B22" s="7">
        <v>26255441.91</v>
      </c>
      <c r="C22" s="7">
        <v>302796.90999999997</v>
      </c>
      <c r="D22" s="7">
        <v>14783.71</v>
      </c>
      <c r="E22" s="7">
        <v>205087.38</v>
      </c>
      <c r="F22" s="7">
        <v>1024.4000000000001</v>
      </c>
      <c r="G22" s="7">
        <f t="shared" si="4"/>
        <v>206111.78</v>
      </c>
      <c r="H22" s="7">
        <f t="shared" si="5"/>
        <v>96685.129999999976</v>
      </c>
      <c r="I22" s="16">
        <f t="shared" si="6"/>
        <v>0.31930685818425286</v>
      </c>
      <c r="L22" s="138"/>
      <c r="M22" s="138"/>
      <c r="N22" s="138"/>
      <c r="O22" s="138"/>
      <c r="P22" s="138"/>
    </row>
    <row r="23" spans="1:19" s="5" customFormat="1" x14ac:dyDescent="0.2">
      <c r="A23" s="6" t="s">
        <v>21</v>
      </c>
      <c r="B23" s="7">
        <v>75198741.920000002</v>
      </c>
      <c r="C23" s="7">
        <v>48942001.070000008</v>
      </c>
      <c r="D23" s="7">
        <v>1711585.7</v>
      </c>
      <c r="E23" s="7">
        <v>2281283.4800000009</v>
      </c>
      <c r="F23" s="7">
        <v>1699849.4500000002</v>
      </c>
      <c r="G23" s="7">
        <f t="shared" si="4"/>
        <v>3981132.9300000011</v>
      </c>
      <c r="H23" s="7">
        <f t="shared" si="5"/>
        <v>44960868.140000008</v>
      </c>
      <c r="I23" s="16">
        <f t="shared" si="6"/>
        <v>0.91865610635114969</v>
      </c>
      <c r="L23" s="138"/>
      <c r="M23" s="138"/>
      <c r="N23" s="138"/>
      <c r="O23" s="138"/>
      <c r="P23" s="138"/>
    </row>
    <row r="24" spans="1:19" s="5" customFormat="1" x14ac:dyDescent="0.2">
      <c r="A24" s="6" t="s">
        <v>22</v>
      </c>
      <c r="B24" s="7">
        <v>27650785.010000002</v>
      </c>
      <c r="C24" s="7">
        <v>10327830</v>
      </c>
      <c r="D24" s="7">
        <v>2994.5</v>
      </c>
      <c r="E24" s="7">
        <v>327714.13</v>
      </c>
      <c r="F24" s="7">
        <v>5670.7</v>
      </c>
      <c r="G24" s="7">
        <f t="shared" si="4"/>
        <v>333384.83</v>
      </c>
      <c r="H24" s="7">
        <f t="shared" si="5"/>
        <v>9994445.1699999999</v>
      </c>
      <c r="I24" s="16">
        <f t="shared" si="6"/>
        <v>0.96771976010449434</v>
      </c>
      <c r="L24" s="138"/>
      <c r="M24" s="138"/>
      <c r="N24" s="138"/>
      <c r="O24" s="138"/>
      <c r="P24" s="138"/>
    </row>
    <row r="25" spans="1:19" s="5" customFormat="1" x14ac:dyDescent="0.2">
      <c r="A25" s="6" t="s">
        <v>23</v>
      </c>
      <c r="B25" s="7">
        <v>80846623.390000001</v>
      </c>
      <c r="C25" s="7">
        <v>4146217.08</v>
      </c>
      <c r="D25" s="7">
        <v>69582.299999999988</v>
      </c>
      <c r="E25" s="7">
        <v>3855310.91</v>
      </c>
      <c r="F25" s="7">
        <v>277514.49</v>
      </c>
      <c r="G25" s="7">
        <f t="shared" si="4"/>
        <v>4132825.4000000004</v>
      </c>
      <c r="H25" s="7">
        <f t="shared" si="5"/>
        <v>13391.679999999702</v>
      </c>
      <c r="I25" s="16">
        <f t="shared" si="6"/>
        <v>3.2298550079774648E-3</v>
      </c>
      <c r="L25" s="138"/>
      <c r="M25" s="138"/>
      <c r="N25" s="138"/>
      <c r="O25" s="138"/>
      <c r="P25" s="138"/>
    </row>
    <row r="26" spans="1:19" s="5" customFormat="1" x14ac:dyDescent="0.2">
      <c r="A26" s="6" t="s">
        <v>24</v>
      </c>
      <c r="B26" s="7">
        <v>667088.79999999993</v>
      </c>
      <c r="C26" s="7">
        <v>2279440</v>
      </c>
      <c r="D26" s="7">
        <v>14212.370000000003</v>
      </c>
      <c r="E26" s="7">
        <v>114804.81</v>
      </c>
      <c r="F26" s="7">
        <v>2955</v>
      </c>
      <c r="G26" s="7">
        <f t="shared" si="4"/>
        <v>117759.81</v>
      </c>
      <c r="H26" s="7">
        <f t="shared" si="5"/>
        <v>2161680.19</v>
      </c>
      <c r="I26" s="16">
        <f t="shared" si="6"/>
        <v>0.94833827168076368</v>
      </c>
      <c r="L26" s="138"/>
      <c r="M26" s="138"/>
      <c r="N26" s="138"/>
      <c r="O26" s="138"/>
      <c r="P26" s="138"/>
    </row>
    <row r="27" spans="1:19" s="5" customFormat="1" x14ac:dyDescent="0.2">
      <c r="A27" s="6" t="s">
        <v>31</v>
      </c>
      <c r="B27" s="7">
        <v>53747141</v>
      </c>
      <c r="C27" s="7">
        <v>22075910.07</v>
      </c>
      <c r="D27" s="7">
        <v>0</v>
      </c>
      <c r="E27" s="7">
        <v>2102330.66</v>
      </c>
      <c r="F27" s="7">
        <v>0</v>
      </c>
      <c r="G27" s="7">
        <f t="shared" si="4"/>
        <v>2102330.66</v>
      </c>
      <c r="H27" s="7">
        <f t="shared" si="5"/>
        <v>19973579.41</v>
      </c>
      <c r="I27" s="16">
        <f t="shared" si="6"/>
        <v>0.90476810906849281</v>
      </c>
      <c r="L27" s="138"/>
      <c r="M27" s="138"/>
      <c r="N27" s="138"/>
      <c r="O27" s="138"/>
      <c r="P27" s="138"/>
    </row>
    <row r="28" spans="1:19" s="5" customFormat="1" x14ac:dyDescent="0.2">
      <c r="A28" s="6" t="s">
        <v>33</v>
      </c>
      <c r="B28" s="7">
        <v>2025395.28</v>
      </c>
      <c r="C28" s="7">
        <v>2025395.28</v>
      </c>
      <c r="D28" s="7">
        <v>261030.61999999997</v>
      </c>
      <c r="E28" s="7">
        <v>1861942.5800000003</v>
      </c>
      <c r="F28" s="7">
        <v>291586.83999999997</v>
      </c>
      <c r="G28" s="7">
        <f t="shared" si="4"/>
        <v>2153529.4200000004</v>
      </c>
      <c r="H28" s="7">
        <f t="shared" si="5"/>
        <v>-128134.14000000036</v>
      </c>
      <c r="I28" s="16">
        <f t="shared" si="6"/>
        <v>-6.3263769430725814E-2</v>
      </c>
      <c r="L28" s="138"/>
      <c r="M28" s="138"/>
      <c r="N28" s="138"/>
      <c r="O28" s="138"/>
      <c r="P28" s="138"/>
    </row>
    <row r="29" spans="1:19" s="5" customFormat="1" x14ac:dyDescent="0.2">
      <c r="A29" s="2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6" t="str">
        <f t="shared" ref="I29" si="9">IF(C29=0,"",H29/C29)</f>
        <v/>
      </c>
    </row>
    <row r="30" spans="1:19" s="5" customFormat="1" x14ac:dyDescent="0.2">
      <c r="A30" s="29" t="s">
        <v>34</v>
      </c>
      <c r="B30" s="7">
        <v>158786775.40000001</v>
      </c>
      <c r="C30" s="7">
        <v>127199999.99999997</v>
      </c>
      <c r="D30" s="7">
        <v>456682.36</v>
      </c>
      <c r="E30" s="7">
        <v>1367864.85</v>
      </c>
      <c r="F30" s="7">
        <v>5855389.1499999994</v>
      </c>
      <c r="G30" s="7">
        <f t="shared" ref="G30" si="10">SUM(E30:F30)</f>
        <v>7223254</v>
      </c>
      <c r="H30" s="7">
        <f t="shared" ref="H30" si="11">C30-G30</f>
        <v>119976745.99999997</v>
      </c>
      <c r="I30" s="16">
        <f t="shared" ref="I30" si="12">IF(C30=0,"",H30/C30)</f>
        <v>0.94321341194968555</v>
      </c>
      <c r="L30" s="138"/>
      <c r="M30" s="138"/>
      <c r="N30" s="138"/>
      <c r="O30" s="138"/>
      <c r="P30" s="138"/>
    </row>
    <row r="31" spans="1:19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2043353.3200000003</v>
      </c>
      <c r="E31" s="7">
        <v>14158343.520000003</v>
      </c>
      <c r="F31" s="7">
        <v>0</v>
      </c>
      <c r="G31" s="7">
        <f t="shared" si="4"/>
        <v>14158343.520000003</v>
      </c>
      <c r="H31" s="7">
        <f t="shared" si="5"/>
        <v>8928301.4899999946</v>
      </c>
      <c r="I31" s="16">
        <f t="shared" si="6"/>
        <v>0.38673014143599876</v>
      </c>
      <c r="L31" s="138"/>
      <c r="M31" s="138"/>
      <c r="N31" s="138"/>
      <c r="O31" s="138"/>
      <c r="P31" s="138"/>
    </row>
    <row r="32" spans="1:19" s="5" customFormat="1" ht="24.95" customHeight="1" x14ac:dyDescent="0.25">
      <c r="A32" s="10" t="s">
        <v>27</v>
      </c>
      <c r="B32" s="11">
        <f t="shared" ref="B32:H32" si="13">SUM(B14:B31)</f>
        <v>774970721.28999996</v>
      </c>
      <c r="C32" s="11">
        <f t="shared" si="13"/>
        <v>667345276.6099999</v>
      </c>
      <c r="D32" s="11">
        <f t="shared" si="13"/>
        <v>13479429.880000014</v>
      </c>
      <c r="E32" s="11">
        <f t="shared" si="13"/>
        <v>91403184.209999979</v>
      </c>
      <c r="F32" s="11">
        <f t="shared" si="13"/>
        <v>16328035.860000003</v>
      </c>
      <c r="G32" s="11">
        <f t="shared" si="13"/>
        <v>107731220.07000002</v>
      </c>
      <c r="H32" s="11">
        <f t="shared" si="13"/>
        <v>559614056.54000008</v>
      </c>
      <c r="I32" s="36">
        <f>IF(C32=0,"",H32/C32)</f>
        <v>0.83856749445016521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28</v>
      </c>
      <c r="B34" s="7">
        <f>B13-B32</f>
        <v>-295807903.56999999</v>
      </c>
      <c r="C34" s="7">
        <f>C13-C32</f>
        <v>-3211543.939999938</v>
      </c>
      <c r="D34" s="7">
        <f>D13-D32</f>
        <v>-5890967.9100000132</v>
      </c>
      <c r="E34" s="7">
        <f>E13-E32</f>
        <v>32234402.14000006</v>
      </c>
      <c r="F34" s="7"/>
      <c r="G34" s="7">
        <f>G13-G32</f>
        <v>15906366.280000016</v>
      </c>
      <c r="H34" s="7">
        <f>H13-H32</f>
        <v>-19117910.220000148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78</v>
      </c>
      <c r="B36" s="20"/>
      <c r="C36" s="20"/>
      <c r="D36" s="20"/>
      <c r="E36" s="20">
        <v>562660.17000000156</v>
      </c>
      <c r="F36" s="20"/>
      <c r="G36" s="20">
        <f>E36</f>
        <v>562660.17000000156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29</v>
      </c>
      <c r="B37" s="24"/>
      <c r="C37" s="24"/>
      <c r="D37" s="24"/>
      <c r="E37" s="24">
        <f>SUM(E34:E36)</f>
        <v>32797062.310000062</v>
      </c>
      <c r="F37" s="24"/>
      <c r="G37" s="24">
        <f>SUM(G34:G36)</f>
        <v>16469026.450000018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37"/>
      <c r="H40" s="137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37"/>
      <c r="H41" s="137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37"/>
      <c r="I43" s="137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"/>
      <c r="H44" s="1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"/>
      <c r="H45" s="1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"/>
      <c r="H46" s="1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9" ht="18.75" x14ac:dyDescent="0.3">
      <c r="A2" s="151" t="s">
        <v>74</v>
      </c>
      <c r="B2" s="151"/>
      <c r="C2" s="151"/>
      <c r="D2" s="151"/>
      <c r="E2" s="151"/>
      <c r="F2" s="151"/>
      <c r="G2" s="151"/>
      <c r="H2" s="151"/>
      <c r="I2" s="151"/>
    </row>
    <row r="3" spans="1: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9" x14ac:dyDescent="0.25">
      <c r="A4" s="152">
        <v>44985</v>
      </c>
      <c r="B4" s="152"/>
      <c r="C4" s="152"/>
      <c r="D4" s="152"/>
      <c r="E4" s="152"/>
      <c r="F4" s="152"/>
      <c r="G4" s="152"/>
      <c r="H4" s="152"/>
      <c r="I4" s="152"/>
    </row>
    <row r="5" spans="1: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5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6">
        <f t="shared" si="2"/>
        <v>0.33749421332416785</v>
      </c>
    </row>
    <row r="11" spans="1:9" s="5" customFormat="1" x14ac:dyDescent="0.2">
      <c r="A11" s="27" t="s">
        <v>26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25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8">
        <f t="shared" ref="I12" si="6">IF(C12=0,"NA",H12/C12)</f>
        <v>0.33749421332416785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6">
        <f t="shared" ref="I13" si="10">IF(C13=0,"NA",H13/C13)</f>
        <v>0.33749421332416785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78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29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0" bestFit="1" customWidth="1"/>
    <col min="4" max="4" width="13.42578125" style="30" bestFit="1" customWidth="1"/>
    <col min="5" max="5" width="14.5703125" style="30" bestFit="1" customWidth="1"/>
    <col min="6" max="6" width="17.5703125" style="30" customWidth="1"/>
    <col min="7" max="7" width="14.5703125" style="30" bestFit="1" customWidth="1"/>
    <col min="8" max="8" width="14.28515625" style="30" bestFit="1" customWidth="1"/>
    <col min="9" max="9" width="14.85546875" style="1" customWidth="1"/>
    <col min="10" max="10" width="3.5703125" style="48" customWidth="1"/>
    <col min="11" max="11" width="29.710937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40"/>
    </row>
    <row r="2" spans="1:20" ht="18.75" x14ac:dyDescent="0.3">
      <c r="A2" s="151" t="s">
        <v>75</v>
      </c>
      <c r="B2" s="151"/>
      <c r="C2" s="151"/>
      <c r="D2" s="151"/>
      <c r="E2" s="151"/>
      <c r="F2" s="151"/>
      <c r="G2" s="151"/>
      <c r="H2" s="151"/>
      <c r="I2" s="151"/>
      <c r="J2" s="41"/>
    </row>
    <row r="3" spans="1:20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40"/>
    </row>
    <row r="4" spans="1:20" x14ac:dyDescent="0.25">
      <c r="A4" s="152">
        <v>44985</v>
      </c>
      <c r="B4" s="152"/>
      <c r="C4" s="152"/>
      <c r="D4" s="152"/>
      <c r="E4" s="152"/>
      <c r="F4" s="152"/>
      <c r="G4" s="152"/>
      <c r="H4" s="152"/>
      <c r="I4" s="152"/>
      <c r="J4" s="42"/>
    </row>
    <row r="5" spans="1:20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40"/>
    </row>
    <row r="6" spans="1:20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J6" s="40"/>
    </row>
    <row r="7" spans="1:20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J7" s="43"/>
      <c r="L7" s="138"/>
      <c r="M7" s="138"/>
      <c r="N7" s="138"/>
      <c r="O7" s="138"/>
      <c r="P7" s="138"/>
    </row>
    <row r="8" spans="1:20" s="5" customFormat="1" x14ac:dyDescent="0.2">
      <c r="A8" s="6" t="s">
        <v>8</v>
      </c>
      <c r="B8" s="7">
        <v>428990000</v>
      </c>
      <c r="C8" s="7">
        <v>429010000</v>
      </c>
      <c r="D8" s="7">
        <v>11848671.060000001</v>
      </c>
      <c r="E8" s="7">
        <v>89864818.00999999</v>
      </c>
      <c r="F8" s="7">
        <v>0</v>
      </c>
      <c r="G8" s="7">
        <f t="shared" ref="G8:G20" si="0">SUM(E8:F8)</f>
        <v>89864818.00999999</v>
      </c>
      <c r="H8" s="7">
        <f t="shared" ref="H8:H11" si="1">C8-G8</f>
        <v>339145181.99000001</v>
      </c>
      <c r="I8" s="35">
        <f>IF(C8=0,"NA",H8/C8)</f>
        <v>0.79052978249924244</v>
      </c>
      <c r="J8" s="44"/>
      <c r="K8"/>
      <c r="L8" s="139"/>
      <c r="M8" s="139"/>
      <c r="N8" s="139"/>
      <c r="O8" s="139"/>
      <c r="P8" s="139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557422.25</v>
      </c>
      <c r="E9" s="7">
        <v>2075560.96</v>
      </c>
      <c r="F9" s="7">
        <v>0</v>
      </c>
      <c r="G9" s="7">
        <f t="shared" si="0"/>
        <v>2075560.96</v>
      </c>
      <c r="H9" s="7">
        <f t="shared" si="1"/>
        <v>724439.04000000004</v>
      </c>
      <c r="I9" s="35">
        <f t="shared" ref="I9:I21" si="2">IF(C9=0,"NA",H9/C9)</f>
        <v>0.25872822857142858</v>
      </c>
      <c r="J9" s="44"/>
      <c r="K9"/>
      <c r="L9" s="139"/>
      <c r="M9" s="139"/>
      <c r="N9" s="139"/>
      <c r="O9" s="139"/>
      <c r="P9" s="139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4772.3999999999996</v>
      </c>
      <c r="E10" s="7">
        <v>91284</v>
      </c>
      <c r="F10" s="7">
        <v>0</v>
      </c>
      <c r="G10" s="7">
        <f t="shared" si="0"/>
        <v>91284</v>
      </c>
      <c r="H10" s="7">
        <f t="shared" si="1"/>
        <v>-91284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</row>
    <row r="12" spans="1:20" s="5" customFormat="1" ht="24.95" customHeight="1" x14ac:dyDescent="0.25">
      <c r="A12" s="10" t="s">
        <v>12</v>
      </c>
      <c r="B12" s="11">
        <f>SUM(B8:B11)</f>
        <v>431790000</v>
      </c>
      <c r="C12" s="11">
        <f t="shared" ref="C12:F12" si="3">SUM(C8:C11)</f>
        <v>431810000</v>
      </c>
      <c r="D12" s="11">
        <f t="shared" si="3"/>
        <v>12410865.710000001</v>
      </c>
      <c r="E12" s="11">
        <f t="shared" si="3"/>
        <v>92031662.969999984</v>
      </c>
      <c r="F12" s="11">
        <f t="shared" si="3"/>
        <v>0</v>
      </c>
      <c r="G12" s="11">
        <f t="shared" ref="G12:H12" si="4">SUM(G8:G11)</f>
        <v>92031662.969999984</v>
      </c>
      <c r="H12" s="11">
        <f t="shared" si="4"/>
        <v>339778337.03000003</v>
      </c>
      <c r="I12" s="36">
        <f t="shared" si="2"/>
        <v>0.7868700053958918</v>
      </c>
      <c r="L12" s="1"/>
      <c r="M12" s="1"/>
      <c r="N12" s="1"/>
      <c r="O12" s="1"/>
      <c r="P12" s="1"/>
      <c r="Q12" s="1"/>
      <c r="R12" s="1"/>
      <c r="S12" s="1"/>
    </row>
    <row r="13" spans="1:20" s="5" customFormat="1" x14ac:dyDescent="0.2">
      <c r="A13" s="12" t="s">
        <v>13</v>
      </c>
      <c r="B13" s="13">
        <v>5000</v>
      </c>
      <c r="C13" s="13">
        <v>5000</v>
      </c>
      <c r="D13" s="13">
        <v>427598.42</v>
      </c>
      <c r="E13" s="13">
        <v>1521774.96</v>
      </c>
      <c r="F13" s="13">
        <v>2048041.6</v>
      </c>
      <c r="G13" s="7">
        <f t="shared" si="0"/>
        <v>3569816.56</v>
      </c>
      <c r="H13" s="7">
        <f t="shared" ref="H13" si="5">C13-G13</f>
        <v>-3564816.56</v>
      </c>
      <c r="I13" s="39">
        <f t="shared" si="2"/>
        <v>-712.96331199999997</v>
      </c>
      <c r="J13" s="44"/>
      <c r="L13" s="138"/>
      <c r="M13" s="138"/>
      <c r="N13" s="138"/>
      <c r="O13" s="138"/>
      <c r="P13" s="138"/>
    </row>
    <row r="14" spans="1:20" s="5" customFormat="1" x14ac:dyDescent="0.25">
      <c r="A14" s="6" t="s">
        <v>14</v>
      </c>
      <c r="B14" s="7">
        <v>0</v>
      </c>
      <c r="C14" s="7">
        <v>0</v>
      </c>
      <c r="D14" s="7">
        <v>0</v>
      </c>
      <c r="E14" s="7">
        <v>1916.36</v>
      </c>
      <c r="F14" s="7">
        <v>0</v>
      </c>
      <c r="G14" s="7">
        <f t="shared" ref="G14" si="6">SUM(E14:F14)</f>
        <v>1916.36</v>
      </c>
      <c r="H14" s="7">
        <f t="shared" ref="H14" si="7">C14-G14</f>
        <v>-1916.36</v>
      </c>
      <c r="I14" s="39" t="str">
        <f t="shared" ref="I14" si="8">IF(C14=0,"NA",H14/C14)</f>
        <v>NA</v>
      </c>
      <c r="J14" s="44"/>
      <c r="K14" s="1"/>
      <c r="L14" s="137"/>
      <c r="M14" s="137"/>
      <c r="N14" s="137"/>
      <c r="O14" s="137"/>
      <c r="P14" s="137"/>
      <c r="Q14" s="1"/>
      <c r="R14" s="1"/>
      <c r="S14" s="1"/>
    </row>
    <row r="15" spans="1:20" s="5" customFormat="1" x14ac:dyDescent="0.25">
      <c r="A15" s="6" t="s">
        <v>21</v>
      </c>
      <c r="B15" s="7">
        <v>10045882.43</v>
      </c>
      <c r="C15" s="7">
        <v>11202279.060000001</v>
      </c>
      <c r="D15" s="7">
        <v>0</v>
      </c>
      <c r="E15" s="7">
        <v>1099372.5099999995</v>
      </c>
      <c r="F15" s="7">
        <v>145344.05000000002</v>
      </c>
      <c r="G15" s="7">
        <f t="shared" si="0"/>
        <v>1244716.5599999996</v>
      </c>
      <c r="H15" s="7">
        <f t="shared" ref="H15" si="9">C15-G15</f>
        <v>9957562.5</v>
      </c>
      <c r="I15" s="39">
        <f t="shared" ref="I15" si="10">IF(C15=0,"NA",H15/C15)</f>
        <v>0.88888720292243817</v>
      </c>
      <c r="J15" s="44"/>
      <c r="K15" s="137"/>
      <c r="L15" s="137"/>
      <c r="M15" s="137"/>
      <c r="N15" s="137"/>
      <c r="O15" s="1"/>
      <c r="P15" s="1"/>
      <c r="Q15" s="1"/>
      <c r="R15" s="1"/>
      <c r="S15" s="1"/>
      <c r="T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0</v>
      </c>
      <c r="E16" s="7">
        <v>737700</v>
      </c>
      <c r="F16" s="7">
        <v>0</v>
      </c>
      <c r="G16" s="7">
        <f t="shared" si="0"/>
        <v>737700</v>
      </c>
      <c r="H16" s="7">
        <f t="shared" ref="H16" si="11">C16-G16</f>
        <v>262300</v>
      </c>
      <c r="I16" s="39">
        <f t="shared" ref="I16" si="12">IF(C16=0,"NA",H16/C16)</f>
        <v>0.26229999999999998</v>
      </c>
      <c r="J16" s="44"/>
      <c r="K16" s="137"/>
      <c r="L16" s="137"/>
      <c r="M16" s="137"/>
      <c r="N16" s="137"/>
      <c r="O16" s="1"/>
      <c r="P16" s="1"/>
      <c r="Q16" s="1"/>
      <c r="R16" s="1"/>
      <c r="S16" s="1"/>
      <c r="T16" s="1"/>
    </row>
    <row r="17" spans="1:21" s="5" customFormat="1" x14ac:dyDescent="0.25">
      <c r="A17" s="6" t="s">
        <v>23</v>
      </c>
      <c r="B17" s="7">
        <v>18000000</v>
      </c>
      <c r="C17" s="7">
        <v>18000000</v>
      </c>
      <c r="D17" s="7">
        <v>0</v>
      </c>
      <c r="E17" s="7">
        <v>0</v>
      </c>
      <c r="F17" s="7">
        <v>0</v>
      </c>
      <c r="G17" s="7"/>
      <c r="H17" s="7"/>
      <c r="I17" s="39"/>
      <c r="J17" s="44"/>
      <c r="K17" s="137"/>
      <c r="L17" s="137"/>
      <c r="M17" s="137"/>
      <c r="N17" s="137"/>
      <c r="O17" s="1"/>
      <c r="P17" s="1"/>
      <c r="Q17" s="1"/>
      <c r="R17" s="1"/>
      <c r="S17" s="1"/>
      <c r="T17" s="1"/>
    </row>
    <row r="18" spans="1:21" s="5" customFormat="1" x14ac:dyDescent="0.25">
      <c r="A18" s="6" t="s">
        <v>34</v>
      </c>
      <c r="B18" s="7">
        <v>729323049.63999987</v>
      </c>
      <c r="C18" s="7">
        <v>453723966.15999991</v>
      </c>
      <c r="D18" s="7">
        <v>1235361.7899999998</v>
      </c>
      <c r="E18" s="7">
        <v>18509130.579999998</v>
      </c>
      <c r="F18" s="7">
        <v>45819602.130000003</v>
      </c>
      <c r="G18" s="7">
        <f t="shared" si="0"/>
        <v>64328732.710000001</v>
      </c>
      <c r="H18" s="7">
        <f>C18-G18</f>
        <v>389395233.44999993</v>
      </c>
      <c r="I18" s="39">
        <f t="shared" si="2"/>
        <v>0.85822055366739147</v>
      </c>
      <c r="J18" s="44"/>
      <c r="K18" s="137"/>
      <c r="L18" s="137"/>
      <c r="M18" s="137"/>
      <c r="N18" s="137"/>
      <c r="O18" s="1"/>
      <c r="P18" s="1"/>
      <c r="Q18" s="1"/>
      <c r="R18" s="1"/>
      <c r="S18" s="1"/>
      <c r="T18" s="1"/>
    </row>
    <row r="19" spans="1:21" s="5" customFormat="1" x14ac:dyDescent="0.25">
      <c r="A19" s="6" t="s">
        <v>26</v>
      </c>
      <c r="B19" s="7">
        <v>83403442</v>
      </c>
      <c r="C19" s="7">
        <v>83403442</v>
      </c>
      <c r="D19" s="7">
        <v>0</v>
      </c>
      <c r="E19" s="7">
        <v>19859400</v>
      </c>
      <c r="F19" s="7">
        <v>0</v>
      </c>
      <c r="G19" s="7">
        <f t="shared" si="0"/>
        <v>19859400</v>
      </c>
      <c r="H19" s="7">
        <f>C19-G19</f>
        <v>63544042</v>
      </c>
      <c r="I19" s="39">
        <f t="shared" si="2"/>
        <v>0.76188752497768619</v>
      </c>
      <c r="J19" s="45"/>
      <c r="K19" s="137"/>
      <c r="L19" s="137"/>
      <c r="M19" s="137"/>
      <c r="N19" s="137"/>
      <c r="O19" s="1"/>
      <c r="P19" s="1"/>
      <c r="Q19" s="1"/>
      <c r="R19" s="1"/>
      <c r="S19" s="1"/>
      <c r="T19" s="1"/>
    </row>
    <row r="20" spans="1:21" s="5" customFormat="1" x14ac:dyDescent="0.25">
      <c r="A20" s="6" t="s">
        <v>25</v>
      </c>
      <c r="B20" s="7">
        <v>5572080</v>
      </c>
      <c r="C20" s="7">
        <v>5572080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>C20-G20</f>
        <v>5572080</v>
      </c>
      <c r="I20" s="39">
        <f t="shared" si="2"/>
        <v>1</v>
      </c>
      <c r="J20" s="44"/>
      <c r="K20" s="137"/>
      <c r="L20" s="137"/>
      <c r="M20" s="137"/>
      <c r="N20" s="137"/>
      <c r="O20" s="1"/>
      <c r="P20" s="1"/>
      <c r="Q20" s="1"/>
      <c r="R20" s="1"/>
      <c r="S20" s="1"/>
      <c r="T20" s="1"/>
    </row>
    <row r="21" spans="1:21" s="5" customFormat="1" ht="24.95" customHeight="1" x14ac:dyDescent="0.25">
      <c r="A21" s="10" t="s">
        <v>27</v>
      </c>
      <c r="B21" s="11">
        <f t="shared" ref="B21:H21" si="13">SUM(B13:B20)</f>
        <v>847349454.06999981</v>
      </c>
      <c r="C21" s="11">
        <f t="shared" si="13"/>
        <v>572906767.21999991</v>
      </c>
      <c r="D21" s="11">
        <f t="shared" si="13"/>
        <v>1662960.2099999997</v>
      </c>
      <c r="E21" s="11">
        <f t="shared" si="13"/>
        <v>41729294.409999996</v>
      </c>
      <c r="F21" s="11">
        <f t="shared" si="13"/>
        <v>48012987.780000001</v>
      </c>
      <c r="G21" s="11">
        <f t="shared" si="13"/>
        <v>89742282.189999998</v>
      </c>
      <c r="H21" s="11">
        <f t="shared" si="13"/>
        <v>465164485.02999991</v>
      </c>
      <c r="I21" s="36">
        <f t="shared" si="2"/>
        <v>0.81193749427535344</v>
      </c>
      <c r="L21" s="1"/>
      <c r="M21" s="1"/>
      <c r="N21" s="1"/>
      <c r="O21" s="1"/>
      <c r="P21" s="1"/>
      <c r="Q21" s="1"/>
      <c r="R21" s="1"/>
      <c r="S21" s="1"/>
    </row>
    <row r="22" spans="1:21" s="5" customFormat="1" ht="24.95" customHeight="1" x14ac:dyDescent="0.25">
      <c r="A22" s="12"/>
      <c r="B22" s="13"/>
      <c r="C22" s="13"/>
      <c r="D22" s="13"/>
      <c r="E22" s="13"/>
      <c r="F22" s="13"/>
      <c r="G22" s="13"/>
      <c r="H22" s="13"/>
      <c r="I22" s="15"/>
      <c r="J22" s="46"/>
      <c r="K22" s="137"/>
      <c r="L22" s="137"/>
      <c r="M22" s="137"/>
      <c r="N22" s="137"/>
      <c r="O22" s="1"/>
      <c r="P22" s="1"/>
      <c r="Q22" s="1"/>
      <c r="R22" s="1"/>
      <c r="S22" s="1"/>
      <c r="T22" s="1"/>
    </row>
    <row r="23" spans="1:21" s="5" customFormat="1" ht="24.95" customHeight="1" x14ac:dyDescent="0.25">
      <c r="A23" s="6" t="s">
        <v>28</v>
      </c>
      <c r="B23" s="7">
        <f>B12-B21</f>
        <v>-415559454.06999981</v>
      </c>
      <c r="C23" s="7">
        <f>C12-C21</f>
        <v>-141096767.21999991</v>
      </c>
      <c r="D23" s="7">
        <f>D12-D21</f>
        <v>10747905.500000002</v>
      </c>
      <c r="E23" s="7">
        <f>E12-E21</f>
        <v>50302368.559999987</v>
      </c>
      <c r="F23" s="7"/>
      <c r="G23" s="7">
        <f>G12-G21</f>
        <v>2289380.7799999863</v>
      </c>
      <c r="H23" s="7">
        <f>H12-H21</f>
        <v>-125386147.99999988</v>
      </c>
      <c r="I23" s="16"/>
      <c r="J23" s="47"/>
      <c r="K23" s="1"/>
      <c r="L23" s="137"/>
      <c r="M23" s="137"/>
      <c r="N23" s="137"/>
      <c r="O23" s="137"/>
      <c r="P23" s="137"/>
      <c r="Q23" s="1"/>
      <c r="R23" s="1"/>
      <c r="S23" s="1"/>
      <c r="T23" s="1"/>
      <c r="U23" s="1"/>
    </row>
    <row r="24" spans="1:21" s="5" customFormat="1" x14ac:dyDescent="0.25">
      <c r="A24" s="8"/>
      <c r="B24" s="9"/>
      <c r="C24" s="9"/>
      <c r="D24" s="9"/>
      <c r="E24" s="9"/>
      <c r="F24" s="9"/>
      <c r="G24" s="9"/>
      <c r="H24" s="9"/>
      <c r="I24" s="17"/>
      <c r="J24" s="47"/>
      <c r="K24" s="1"/>
      <c r="L24" s="137"/>
      <c r="M24" s="137"/>
      <c r="N24" s="137"/>
      <c r="O24" s="137"/>
      <c r="P24" s="137"/>
      <c r="Q24" s="1"/>
      <c r="R24" s="1"/>
      <c r="S24" s="1"/>
      <c r="T24" s="1"/>
      <c r="U24" s="1"/>
    </row>
    <row r="25" spans="1:21" x14ac:dyDescent="0.25">
      <c r="A25" s="18" t="s">
        <v>78</v>
      </c>
      <c r="B25" s="20"/>
      <c r="C25" s="20"/>
      <c r="D25" s="20"/>
      <c r="E25" s="20">
        <v>364500000</v>
      </c>
      <c r="F25" s="20"/>
      <c r="G25" s="20">
        <f>E25</f>
        <v>364500000</v>
      </c>
      <c r="H25" s="20"/>
      <c r="I25" s="21"/>
      <c r="J25" s="46"/>
    </row>
    <row r="26" spans="1:21" ht="15.75" thickBot="1" x14ac:dyDescent="0.3">
      <c r="A26" s="22" t="s">
        <v>29</v>
      </c>
      <c r="B26" s="24"/>
      <c r="C26" s="24"/>
      <c r="D26" s="24"/>
      <c r="E26" s="24">
        <f>SUM(E23:E25)</f>
        <v>414802368.56</v>
      </c>
      <c r="F26" s="24"/>
      <c r="G26" s="24">
        <f>SUM(G23:G25)</f>
        <v>366789380.77999997</v>
      </c>
      <c r="H26" s="24"/>
      <c r="I26" s="25"/>
    </row>
    <row r="27" spans="1:21" x14ac:dyDescent="0.25">
      <c r="A27" s="5"/>
      <c r="B27" s="33"/>
      <c r="C27" s="33"/>
      <c r="D27" s="33"/>
      <c r="E27" s="33"/>
      <c r="F27" s="33"/>
      <c r="G27" s="33"/>
      <c r="H27" s="33"/>
      <c r="I27" s="5"/>
    </row>
    <row r="29" spans="1:21" x14ac:dyDescent="0.25">
      <c r="B29" s="137"/>
      <c r="C29" s="137"/>
      <c r="D29" s="165"/>
      <c r="E29" s="137"/>
      <c r="F29" s="137"/>
      <c r="G29" s="137"/>
      <c r="H29" s="137"/>
      <c r="I29" s="137"/>
      <c r="J29" s="137"/>
    </row>
    <row r="30" spans="1:21" x14ac:dyDescent="0.25">
      <c r="B30" s="137"/>
      <c r="C30" s="137"/>
      <c r="D30" s="165"/>
      <c r="E30" s="137"/>
      <c r="F30" s="137"/>
      <c r="G30" s="137"/>
      <c r="H30" s="137"/>
      <c r="I30" s="137"/>
      <c r="J30" s="137"/>
    </row>
    <row r="31" spans="1:21" x14ac:dyDescent="0.25">
      <c r="B31" s="137"/>
      <c r="C31" s="137"/>
      <c r="D31" s="165"/>
      <c r="E31" s="137"/>
      <c r="F31" s="137"/>
      <c r="G31" s="137"/>
      <c r="H31" s="137"/>
      <c r="I31" s="137"/>
      <c r="J31" s="137"/>
    </row>
    <row r="32" spans="1:21" x14ac:dyDescent="0.25">
      <c r="B32" s="137"/>
      <c r="C32" s="137"/>
      <c r="D32" s="137"/>
      <c r="E32" s="137"/>
      <c r="F32" s="137"/>
    </row>
    <row r="33" spans="2:10" x14ac:dyDescent="0.25">
      <c r="B33" s="137"/>
      <c r="C33" s="137"/>
      <c r="D33" s="137"/>
      <c r="E33" s="137"/>
      <c r="F33" s="137"/>
      <c r="G33" s="137"/>
      <c r="H33" s="137"/>
      <c r="J33" s="137"/>
    </row>
    <row r="34" spans="2:10" x14ac:dyDescent="0.25">
      <c r="B34" s="137"/>
      <c r="C34" s="137"/>
      <c r="D34" s="165"/>
      <c r="E34" s="137"/>
      <c r="F34" s="137"/>
      <c r="G34" s="137"/>
      <c r="H34" s="137"/>
      <c r="J34" s="137"/>
    </row>
    <row r="35" spans="2:10" x14ac:dyDescent="0.25">
      <c r="B35" s="137"/>
      <c r="C35" s="137"/>
      <c r="D35" s="165"/>
      <c r="E35" s="137"/>
      <c r="F35" s="137"/>
      <c r="G35" s="137"/>
      <c r="H35" s="137"/>
      <c r="J35" s="137"/>
    </row>
    <row r="36" spans="2:10" x14ac:dyDescent="0.25">
      <c r="B36" s="137"/>
      <c r="C36" s="137"/>
      <c r="D36" s="165"/>
      <c r="E36" s="137"/>
      <c r="F36" s="137"/>
      <c r="G36" s="137"/>
      <c r="H36" s="137"/>
      <c r="J36" s="137"/>
    </row>
    <row r="37" spans="2:10" x14ac:dyDescent="0.25">
      <c r="B37" s="137"/>
      <c r="C37" s="137"/>
      <c r="D37" s="165"/>
      <c r="E37" s="137"/>
      <c r="F37" s="137"/>
      <c r="G37" s="137"/>
      <c r="H37" s="137"/>
      <c r="J37" s="137"/>
    </row>
    <row r="38" spans="2:10" x14ac:dyDescent="0.25">
      <c r="B38" s="137"/>
      <c r="C38" s="137"/>
      <c r="D38" s="137"/>
      <c r="E38" s="137"/>
      <c r="F38" s="137"/>
      <c r="G38" s="137"/>
      <c r="H38" s="137"/>
      <c r="J38" s="137"/>
    </row>
    <row r="39" spans="2:10" x14ac:dyDescent="0.25">
      <c r="B39" s="137"/>
      <c r="C39" s="137"/>
      <c r="D39" s="165"/>
      <c r="E39" s="137"/>
      <c r="F39" s="137"/>
      <c r="G39" s="137"/>
      <c r="H39" s="137"/>
      <c r="J39" s="137"/>
    </row>
    <row r="40" spans="2:10" x14ac:dyDescent="0.25">
      <c r="B40" s="137"/>
      <c r="C40" s="137"/>
      <c r="D40" s="165"/>
      <c r="E40" s="137"/>
      <c r="F40" s="137"/>
      <c r="G40" s="137"/>
      <c r="H40" s="137"/>
      <c r="J40" s="137"/>
    </row>
    <row r="41" spans="2:10" x14ac:dyDescent="0.25">
      <c r="B41" s="137"/>
      <c r="C41" s="137"/>
      <c r="D41" s="165"/>
      <c r="E41" s="137"/>
      <c r="F41" s="137"/>
      <c r="G41" s="137"/>
      <c r="H41" s="137"/>
      <c r="J41" s="137"/>
    </row>
    <row r="42" spans="2:10" x14ac:dyDescent="0.25">
      <c r="B42" s="137"/>
      <c r="C42" s="137"/>
      <c r="D42" s="165"/>
      <c r="E42" s="137"/>
      <c r="F42" s="137"/>
      <c r="G42" s="137"/>
      <c r="H42" s="137"/>
      <c r="J42" s="137"/>
    </row>
    <row r="43" spans="2:10" x14ac:dyDescent="0.25">
      <c r="B43" s="137"/>
      <c r="C43" s="137"/>
      <c r="D43" s="137"/>
      <c r="E43" s="137"/>
      <c r="F43" s="137"/>
      <c r="J43" s="137"/>
    </row>
    <row r="44" spans="2:10" x14ac:dyDescent="0.25">
      <c r="B44" s="137"/>
      <c r="C44" s="137"/>
      <c r="D44" s="137"/>
      <c r="E44" s="137"/>
      <c r="F44" s="137"/>
      <c r="J44" s="137"/>
    </row>
    <row r="45" spans="2:10" x14ac:dyDescent="0.25">
      <c r="B45" s="137"/>
      <c r="C45" s="137"/>
      <c r="D45" s="137"/>
      <c r="E45" s="137"/>
      <c r="F45" s="137"/>
      <c r="J45" s="137"/>
    </row>
    <row r="46" spans="2:10" x14ac:dyDescent="0.25">
      <c r="B46" s="137"/>
      <c r="C46" s="137"/>
      <c r="D46" s="137"/>
      <c r="E46" s="137"/>
      <c r="F46" s="137"/>
      <c r="J46" s="137"/>
    </row>
    <row r="47" spans="2:10" x14ac:dyDescent="0.25">
      <c r="B47" s="137"/>
      <c r="C47" s="137"/>
      <c r="D47" s="137"/>
      <c r="E47" s="137"/>
      <c r="F47" s="137"/>
      <c r="J47" s="137"/>
    </row>
    <row r="48" spans="2:10" x14ac:dyDescent="0.25">
      <c r="B48" s="137"/>
      <c r="C48" s="137"/>
      <c r="D48" s="137"/>
      <c r="E48" s="137"/>
      <c r="F48" s="137"/>
      <c r="J48" s="137"/>
    </row>
    <row r="49" spans="9:9" x14ac:dyDescent="0.25">
      <c r="I49" s="30"/>
    </row>
    <row r="50" spans="9:9" x14ac:dyDescent="0.25">
      <c r="I50" s="30"/>
    </row>
    <row r="51" spans="9:9" x14ac:dyDescent="0.25">
      <c r="I51" s="30"/>
    </row>
    <row r="52" spans="9:9" x14ac:dyDescent="0.25">
      <c r="I52" s="30"/>
    </row>
    <row r="53" spans="9:9" x14ac:dyDescent="0.25">
      <c r="I53" s="30"/>
    </row>
    <row r="54" spans="9:9" x14ac:dyDescent="0.25">
      <c r="I54" s="30"/>
    </row>
    <row r="55" spans="9:9" x14ac:dyDescent="0.25">
      <c r="I55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19" ht="18.75" x14ac:dyDescent="0.3">
      <c r="A2" s="151" t="s">
        <v>76</v>
      </c>
      <c r="B2" s="151"/>
      <c r="C2" s="151"/>
      <c r="D2" s="151"/>
      <c r="E2" s="151"/>
      <c r="F2" s="151"/>
      <c r="G2" s="151"/>
      <c r="H2" s="151"/>
      <c r="I2" s="151"/>
    </row>
    <row r="3" spans="1:1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19" x14ac:dyDescent="0.25">
      <c r="A4" s="152">
        <v>44985</v>
      </c>
      <c r="B4" s="152"/>
      <c r="C4" s="152"/>
      <c r="D4" s="152"/>
      <c r="E4" s="152"/>
      <c r="F4" s="152"/>
      <c r="G4" s="152"/>
      <c r="H4" s="152"/>
      <c r="I4" s="152"/>
    </row>
    <row r="5" spans="1:1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1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M7" s="138"/>
      <c r="N7" s="138"/>
      <c r="O7" s="138"/>
      <c r="P7" s="138"/>
      <c r="Q7" s="138"/>
      <c r="R7" s="138"/>
    </row>
    <row r="8" spans="1:19" s="5" customFormat="1" x14ac:dyDescent="0.2">
      <c r="A8" s="6" t="s">
        <v>8</v>
      </c>
      <c r="B8" s="7">
        <v>11694445.879999999</v>
      </c>
      <c r="C8" s="7">
        <v>11694445.879999999</v>
      </c>
      <c r="D8" s="7">
        <v>331175.06</v>
      </c>
      <c r="E8" s="7">
        <v>2078079.3999999997</v>
      </c>
      <c r="F8" s="7">
        <v>0</v>
      </c>
      <c r="G8" s="7">
        <f t="shared" ref="G8:G17" si="0">SUM(E8:F8)</f>
        <v>2078079.3999999997</v>
      </c>
      <c r="H8" s="7">
        <f t="shared" ref="H8:H12" si="1">C8-G8</f>
        <v>9616366.4799999986</v>
      </c>
      <c r="I8" s="39">
        <f>IF(C8=0,"NA",H8/C8)</f>
        <v>0.82230202086325777</v>
      </c>
      <c r="M8" s="138"/>
      <c r="N8" s="138"/>
      <c r="O8" s="138"/>
      <c r="P8" s="138"/>
      <c r="Q8" s="138"/>
      <c r="R8" s="13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17194.28</v>
      </c>
      <c r="E9" s="7">
        <v>103057.56</v>
      </c>
      <c r="F9" s="7">
        <v>0</v>
      </c>
      <c r="G9" s="7">
        <f t="shared" si="0"/>
        <v>103057.56</v>
      </c>
      <c r="H9" s="7">
        <f t="shared" si="1"/>
        <v>-103057.56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</row>
    <row r="10" spans="1:19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687108</v>
      </c>
      <c r="F10" s="7">
        <v>0</v>
      </c>
      <c r="G10" s="7">
        <f t="shared" si="0"/>
        <v>687108</v>
      </c>
      <c r="H10" s="7">
        <f t="shared" si="1"/>
        <v>527386</v>
      </c>
      <c r="I10" s="39">
        <f t="shared" si="2"/>
        <v>0.43424339683851876</v>
      </c>
      <c r="M10" s="138"/>
      <c r="N10" s="138"/>
      <c r="O10" s="138"/>
      <c r="P10" s="138"/>
      <c r="Q10" s="138"/>
      <c r="R10" s="138"/>
    </row>
    <row r="11" spans="1:19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6032596.9599999953</v>
      </c>
      <c r="E11" s="7">
        <v>42772237.919999994</v>
      </c>
      <c r="F11" s="7">
        <v>0</v>
      </c>
      <c r="G11" s="7">
        <f t="shared" si="0"/>
        <v>42772237.919999994</v>
      </c>
      <c r="H11" s="7">
        <f t="shared" si="1"/>
        <v>10619577.20000001</v>
      </c>
      <c r="I11" s="39">
        <f t="shared" si="2"/>
        <v>0.19889897311286633</v>
      </c>
      <c r="M11" s="138"/>
      <c r="N11" s="138"/>
      <c r="O11" s="138"/>
      <c r="P11" s="138"/>
      <c r="Q11" s="138"/>
      <c r="R11" s="138"/>
    </row>
    <row r="12" spans="1:19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</row>
    <row r="13" spans="1:19" s="5" customFormat="1" ht="24.95" customHeight="1" x14ac:dyDescent="0.25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6441594.2999999952</v>
      </c>
      <c r="E13" s="11">
        <f t="shared" si="3"/>
        <v>45640482.879999995</v>
      </c>
      <c r="F13" s="11">
        <f t="shared" si="3"/>
        <v>0</v>
      </c>
      <c r="G13" s="11">
        <f t="shared" si="3"/>
        <v>45640482.879999995</v>
      </c>
      <c r="H13" s="11">
        <f t="shared" si="3"/>
        <v>23460272.120000008</v>
      </c>
      <c r="I13" s="36">
        <f t="shared" si="2"/>
        <v>0.33950818800749727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</row>
    <row r="15" spans="1:19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</row>
    <row r="16" spans="1:19" s="5" customFormat="1" x14ac:dyDescent="0.25">
      <c r="A16" s="6" t="s">
        <v>31</v>
      </c>
      <c r="B16" s="7">
        <v>68718996.969999984</v>
      </c>
      <c r="C16" s="7">
        <v>68620215.969999984</v>
      </c>
      <c r="D16" s="7">
        <v>6605047.4700000025</v>
      </c>
      <c r="E16" s="7">
        <v>37191651.489999972</v>
      </c>
      <c r="F16" s="7">
        <v>3991038.8800000004</v>
      </c>
      <c r="G16" s="7">
        <f t="shared" si="0"/>
        <v>41182690.369999975</v>
      </c>
      <c r="H16" s="7">
        <f t="shared" si="4"/>
        <v>27437525.600000009</v>
      </c>
      <c r="I16" s="39">
        <f t="shared" si="2"/>
        <v>0.39984609800696924</v>
      </c>
      <c r="L16" s="1"/>
      <c r="M16" s="1"/>
      <c r="N16" s="1"/>
      <c r="O16" s="1"/>
      <c r="P16" s="1"/>
      <c r="Q16" s="1"/>
      <c r="R16" s="137"/>
      <c r="S16" s="1"/>
    </row>
    <row r="17" spans="1:22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2" s="5" customFormat="1" ht="24.95" customHeight="1" x14ac:dyDescent="0.25">
      <c r="A18" s="10" t="s">
        <v>27</v>
      </c>
      <c r="B18" s="11">
        <f>SUM(B14:B17)</f>
        <v>68785786.969999984</v>
      </c>
      <c r="C18" s="11">
        <f t="shared" ref="C18:G18" si="5">SUM(C14:C17)</f>
        <v>68620215.969999984</v>
      </c>
      <c r="D18" s="11">
        <f t="shared" si="5"/>
        <v>6605047.4700000025</v>
      </c>
      <c r="E18" s="11">
        <f t="shared" si="5"/>
        <v>37191651.489999972</v>
      </c>
      <c r="F18" s="11">
        <f t="shared" si="5"/>
        <v>3991038.8800000004</v>
      </c>
      <c r="G18" s="11">
        <f t="shared" si="5"/>
        <v>41182690.369999975</v>
      </c>
      <c r="H18" s="11">
        <f t="shared" ref="H18" si="6">SUM(H14:H17)</f>
        <v>27437525.600000009</v>
      </c>
      <c r="I18" s="36">
        <f t="shared" si="2"/>
        <v>0.39984609800696924</v>
      </c>
      <c r="L18" s="1"/>
      <c r="M18" s="1"/>
      <c r="N18" s="1"/>
      <c r="O18" s="1"/>
      <c r="P18" s="1"/>
      <c r="Q18" s="1"/>
      <c r="R18" s="1"/>
      <c r="S18" s="1"/>
    </row>
    <row r="19" spans="1:22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</row>
    <row r="20" spans="1:22" s="5" customFormat="1" x14ac:dyDescent="0.25">
      <c r="A20" s="6" t="s">
        <v>28</v>
      </c>
      <c r="B20" s="7">
        <f>B13-B18</f>
        <v>314968.03000001609</v>
      </c>
      <c r="C20" s="7">
        <f>C13-C18</f>
        <v>480539.03000001609</v>
      </c>
      <c r="D20" s="7">
        <f>D13-D18</f>
        <v>-163453.17000000738</v>
      </c>
      <c r="E20" s="7">
        <f>E13-E18</f>
        <v>8448831.3900000229</v>
      </c>
      <c r="F20" s="7"/>
      <c r="G20" s="7">
        <f>G13-G18</f>
        <v>4457792.5100000203</v>
      </c>
      <c r="H20" s="7">
        <f>H13-H18</f>
        <v>-3977253.4800000004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22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22" s="5" customFormat="1" x14ac:dyDescent="0.25">
      <c r="A22" s="18" t="s">
        <v>78</v>
      </c>
      <c r="B22" s="20"/>
      <c r="C22" s="20"/>
      <c r="D22" s="20"/>
      <c r="E22" s="20">
        <v>18476000</v>
      </c>
      <c r="F22" s="20"/>
      <c r="G22" s="20">
        <f>E22</f>
        <v>18476000</v>
      </c>
      <c r="H22" s="20"/>
      <c r="I22" s="21"/>
      <c r="L22" s="1"/>
      <c r="M22" s="1"/>
      <c r="N22" s="1"/>
      <c r="O22" s="1"/>
      <c r="P22" s="1"/>
      <c r="R22" s="1"/>
      <c r="T22" s="1"/>
    </row>
    <row r="23" spans="1:22" s="5" customFormat="1" ht="24.95" customHeight="1" thickBot="1" x14ac:dyDescent="0.3">
      <c r="A23" s="22" t="s">
        <v>29</v>
      </c>
      <c r="B23" s="24"/>
      <c r="C23" s="24"/>
      <c r="D23" s="24"/>
      <c r="E23" s="24">
        <f>SUM(E20:E22)</f>
        <v>26924831.390000023</v>
      </c>
      <c r="F23" s="24"/>
      <c r="G23" s="24">
        <f>SUM(G20:G22)</f>
        <v>22933792.51000002</v>
      </c>
      <c r="H23" s="24"/>
      <c r="I23" s="25"/>
      <c r="L23" s="1"/>
      <c r="M23" s="1"/>
      <c r="N23" s="1"/>
      <c r="O23" s="1"/>
      <c r="P23" s="1"/>
      <c r="Q23" s="1"/>
      <c r="T23" s="1"/>
    </row>
    <row r="24" spans="1:22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</row>
    <row r="25" spans="1:22" s="5" customFormat="1" x14ac:dyDescent="0.25">
      <c r="B25" s="30"/>
      <c r="C25" s="30"/>
      <c r="D25" s="30"/>
      <c r="E25" s="14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 s="5" customFormat="1" x14ac:dyDescent="0.25">
      <c r="A26" s="1"/>
      <c r="B26" s="30"/>
      <c r="C26" s="30"/>
      <c r="D26" s="30"/>
      <c r="E26" s="30"/>
      <c r="F26" s="3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8" spans="1:22" x14ac:dyDescent="0.25">
      <c r="G28" s="1"/>
      <c r="H28" s="1"/>
    </row>
    <row r="30" spans="1:22" x14ac:dyDescent="0.25">
      <c r="G30" s="1"/>
      <c r="H30" s="1"/>
    </row>
    <row r="31" spans="1:22" x14ac:dyDescent="0.25">
      <c r="G31" s="1"/>
      <c r="H31" s="1"/>
    </row>
    <row r="32" spans="1:22" x14ac:dyDescent="0.25">
      <c r="G32" s="1"/>
      <c r="H32" s="1"/>
    </row>
    <row r="33" spans="5:8" x14ac:dyDescent="0.25">
      <c r="E33" s="1"/>
      <c r="F33" s="1"/>
      <c r="G33" s="1"/>
      <c r="H33" s="1"/>
    </row>
    <row r="34" spans="5:8" x14ac:dyDescent="0.25">
      <c r="G34" s="1"/>
      <c r="H34" s="1"/>
    </row>
    <row r="35" spans="5:8" x14ac:dyDescent="0.25">
      <c r="E35" s="1"/>
      <c r="F35" s="1"/>
      <c r="G35" s="1"/>
      <c r="H35" s="1"/>
    </row>
    <row r="36" spans="5:8" x14ac:dyDescent="0.25">
      <c r="G36" s="1"/>
      <c r="H36" s="1"/>
    </row>
    <row r="37" spans="5:8" x14ac:dyDescent="0.25">
      <c r="H37" s="1"/>
    </row>
    <row r="38" spans="5:8" x14ac:dyDescent="0.25">
      <c r="H38" s="1"/>
    </row>
    <row r="39" spans="5:8" x14ac:dyDescent="0.25">
      <c r="H39" s="1"/>
    </row>
    <row r="40" spans="5:8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2023-03-15T13:01:25Z</cp:lastPrinted>
  <dcterms:created xsi:type="dcterms:W3CDTF">2020-01-29T12:55:36Z</dcterms:created>
  <dcterms:modified xsi:type="dcterms:W3CDTF">2023-03-15T14:06:41Z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