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3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0" l="1"/>
  <c r="M19" i="10"/>
  <c r="M18" i="10"/>
  <c r="M17" i="10"/>
  <c r="M14" i="10"/>
  <c r="M13" i="10"/>
  <c r="M12" i="10"/>
  <c r="M11" i="10"/>
  <c r="M10" i="10"/>
  <c r="M9" i="10"/>
  <c r="G18" i="4"/>
  <c r="H18" i="4" s="1"/>
  <c r="I18" i="4" s="1"/>
  <c r="G19" i="4"/>
  <c r="H19" i="4"/>
  <c r="I19" i="4"/>
  <c r="G27" i="1" l="1"/>
  <c r="H27" i="1" s="1"/>
  <c r="I27" i="1" s="1"/>
  <c r="L21" i="10" l="1"/>
  <c r="L19" i="10"/>
  <c r="L14" i="10"/>
  <c r="L13" i="10"/>
  <c r="L11" i="10"/>
  <c r="L10" i="10"/>
  <c r="L9" i="10"/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I29" i="2"/>
  <c r="G29" i="2"/>
  <c r="H29" i="2" s="1"/>
  <c r="G14" i="4" l="1"/>
  <c r="H14" i="4" s="1"/>
  <c r="I14" i="4" s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20" i="4" l="1"/>
  <c r="G16" i="4"/>
  <c r="G15" i="4"/>
  <c r="G13" i="4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H15" i="4"/>
  <c r="I15" i="4" s="1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H16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20" i="4"/>
  <c r="I20" i="4" s="1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<sst xmlns="http://schemas.openxmlformats.org/spreadsheetml/2006/main" count="267" uniqueCount="84">
  <si>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</si>
  <si>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</si>
  <si>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</si>
  <si>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</si>
  <si>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</si>
  <si>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</si>
  <si>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</si>
  <si>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</si>
  <si>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</si>
  <si>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</si>
  <si>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</si>
  <si>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</si>
  <si>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</si>
  <si>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</si>
  <si>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</si>
  <si>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</si>
  <si>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</si>
  <si>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</si>
  <si>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</si>
  <si>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</si>
  <si>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</si>
  <si>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</si>
  <si>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</si>
  <si>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</si>
  <si>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</si>
  <si>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</si>
  <si>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</si>
  <si>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</si>
  <si>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</si>
  <si>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</si>
  <si>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</si>
  <si>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</si>
  <si>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</si>
  <si>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</si>
  <si>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</si>
  <si>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% of REMAINING BUDGET</t>
  </si>
  <si>
    <t>Description</t>
  </si>
  <si>
    <t>AMENDED BUDGET</t>
  </si>
  <si>
    <t>ORIGINAL BUDGET</t>
  </si>
  <si>
    <t xml:space="preserve">   COMMUNITY SERVICES OPERATIONS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</si>
  <si>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</si>
  <si>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</si>
  <si>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</si>
  <si>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</si>
  <si>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</si>
  <si>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</si>
  <si>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</si>
  <si>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</si>
  <si>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</si>
  <si>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</si>
  <si>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</si>
  <si>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</si>
  <si>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</si>
  <si>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</si>
  <si>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</si>
  <si>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</si>
  <si>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</si>
  <si>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</si>
  <si>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</si>
  <si>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</si>
  <si>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</si>
  <si>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</si>
  <si>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</si>
  <si>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</si>
  <si>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</si>
  <si>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</si>
  <si>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</si>
  <si>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</si>
  <si>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</si>
  <si>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</si>
  <si>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</si>
  <si>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</si>
  <si>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</si>
  <si>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</si>
  <si>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</si>
  <si>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</si>
  <si>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</si>
  <si>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</si>
  <si>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</si>
  <si>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</si>
  <si>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</si>
  <si>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>TOTAL GENERAL OPERATIONS BUDGET
$1,325,542,608</t>
  </si>
  <si>
    <t>GENERAL OPERATIONS YTD EXPENSES
$866,176,752</t>
  </si>
  <si>
    <t>(LOCAL &amp; OTHER)  Budgeted: $801,959,155  Actual: $781,291,491  97.42%
(STATE)  Budgeted: $503,799,795  Actual: $352,876,646   70.04%
TOTAL Budgeted: $1,305,758,950  Actual: $1,134,168,136   86.86%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</si>
</sst>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8019623173983895E-2"/>
                  <c:y val="-3.7887379733386642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5.2449211150511904E-2"/>
                  <c:y val="-2.7415494078754966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459365855.48999846</c:v>
                </c:pt>
                <c:pt idx="1">
                  <c:v>866176752.28000152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6.383728613662519E-2"/>
                  <c:y val="-3.65309907488644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8689533166428521E-2"/>
                  <c:y val="3.9980305705792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553995319291104E-2"/>
                  <c:y val="8.86780760303409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569732820508762E-2"/>
                  <c:y val="0.133822803179221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299504813653559E-2"/>
                  <c:y val="5.0469368338830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0309379582316503E-2"/>
                  <c:y val="4.59981712441091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9.0101222302076844E-2"/>
                  <c:y val="8.57907888453294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8.7873489234106525E-2"/>
                  <c:y val="9.0624849608889196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856422285228389E-2"/>
                  <c:y val="-0.110022989016358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537344057.50000226</c:v>
                </c:pt>
                <c:pt idx="1">
                  <c:v>49771580.17999991</c:v>
                </c:pt>
                <c:pt idx="2">
                  <c:v>10701364.280000009</c:v>
                </c:pt>
                <c:pt idx="3">
                  <c:v>219553.2200000002</c:v>
                </c:pt>
                <c:pt idx="4">
                  <c:v>9197672.7200000118</c:v>
                </c:pt>
                <c:pt idx="5">
                  <c:v>33719824.850000001</c:v>
                </c:pt>
                <c:pt idx="6">
                  <c:v>56449478.959999278</c:v>
                </c:pt>
                <c:pt idx="7">
                  <c:v>11226454.579999998</c:v>
                </c:pt>
                <c:pt idx="8">
                  <c:v>89708360.089999959</c:v>
                </c:pt>
                <c:pt idx="9">
                  <c:v>45765547.389999993</c:v>
                </c:pt>
                <c:pt idx="10">
                  <c:v>20588071.739999987</c:v>
                </c:pt>
                <c:pt idx="11">
                  <c:v>799115.48</c:v>
                </c:pt>
                <c:pt idx="12">
                  <c:v>681082.53999999911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$866,176,752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537344057.50000226</c:v>
                </c:pt>
                <c:pt idx="1">
                  <c:v>49771580.17999991</c:v>
                </c:pt>
                <c:pt idx="2">
                  <c:v>10701364.280000009</c:v>
                </c:pt>
                <c:pt idx="3">
                  <c:v>219553.2200000002</c:v>
                </c:pt>
                <c:pt idx="4">
                  <c:v>9197672.7200000118</c:v>
                </c:pt>
                <c:pt idx="5">
                  <c:v>33719824.850000001</c:v>
                </c:pt>
                <c:pt idx="6">
                  <c:v>56449478.959999278</c:v>
                </c:pt>
                <c:pt idx="7">
                  <c:v>11226454.579999998</c:v>
                </c:pt>
                <c:pt idx="8">
                  <c:v>89708360.089999959</c:v>
                </c:pt>
                <c:pt idx="9">
                  <c:v>45765547.389999993</c:v>
                </c:pt>
                <c:pt idx="10">
                  <c:v>20588071.739999987</c:v>
                </c:pt>
                <c:pt idx="11">
                  <c:v>799115.48</c:v>
                </c:pt>
                <c:pt idx="12">
                  <c:v>681082.53999999911</c:v>
                </c:pt>
                <c:pt idx="13">
                  <c:v>4588.75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8832648"/>
        <c:axId val="1608825592"/>
      </c:barChart>
      <c:valAx>
        <c:axId val="1608825592"/>
        <c:scaling>
          <c:orientation val="minMax"/>
          <c:max val="5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32648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608832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25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800420899.48000002</c:v>
                </c:pt>
                <c:pt idx="1">
                  <c:v>90000</c:v>
                </c:pt>
                <c:pt idx="2">
                  <c:v>503799794.62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771917063.4599998</c:v>
                </c:pt>
                <c:pt idx="1">
                  <c:v>9364677.7799999993</c:v>
                </c:pt>
                <c:pt idx="2">
                  <c:v>352876645.63</c:v>
                </c:pt>
                <c:pt idx="3">
                  <c:v>9749.380000000001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$801,959,155  Actual: $781,291,491  97.42%
(STATE)  Budgeted: $503,799,795  Actual: $352,876,646   70.04%
TOTAL Budgeted: $1,305,758,950  Actual: $1,134,168,136   86.86%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$801,959,155  Actual: $781,291,491  97.42%
(STATE)  Budgeted: $503,799,795  Actual: $352,876,646   70.04%
TOTAL Budgeted: $1,305,758,950  Actual: $1,134,168,136   86.86%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8829904"/>
        <c:axId val="160883774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$801,959,155  Actual: $781,291,491  97.42%
(STATE)  Budgeted: $503,799,795  Actual: $352,876,646   70.04%
TOTAL Budgeted: $1,305,758,950  Actual: $1,134,168,136   86.86%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$801,959,155  Actual: $781,291,491  97.42%
(STATE)  Budgeted: $503,799,795  Actual: $352,876,646   70.04%
TOTAL Budgeted: $1,305,758,950  Actual: $1,134,168,136   86.86%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$801,959,155  Actual: $781,291,491  97.42%
(STATE)  Budgeted: $503,799,795  Actual: $352,876,646   70.04%
TOTAL Budgeted: $1,305,758,950  Actual: $1,134,168,136   86.86%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$801,959,155  Actual: $781,291,491  97.42%
(STATE)  Budgeted: $503,799,795  Actual: $352,876,646   70.04%
TOTAL Budgeted: $1,305,758,950  Actual: $1,134,168,136   86.86%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60882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37744"/>
        <c:crosses val="autoZero"/>
        <c:auto val="1"/>
        <c:lblAlgn val="ctr"/>
        <c:lblOffset val="500"/>
        <c:noMultiLvlLbl val="0"/>
      </c:catAx>
      <c:valAx>
        <c:axId val="160883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829904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$1,325,542,608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$866,176,752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$866,176,752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$801,959,155  Actual: $781,291,491  97.42%</a:t>
          </a:r>
        </a:p>
        <a:p xmlns:a="http://schemas.openxmlformats.org/drawingml/2006/main">
          <a:pPr algn="ctr"/>
          <a:r>
            <a:rPr lang="en-US" sz="1100"/>
            <a:t>(STATE)  Budgeted: $503,799,795  Actual: $352,876,646   70.04%</a:t>
          </a:r>
        </a:p>
        <a:p xmlns:a="http://schemas.openxmlformats.org/drawingml/2006/main">
          <a:pPr algn="ctr"/>
          <a:r>
            <a:rPr lang="en-US" sz="1100"/>
            <a:t>TOTAL Budgeted: $1,305,758,950  Actual: $1,134,168,136   86.86%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5.28515625" style="30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19" ht="18.75" x14ac:dyDescent="0.3">
      <c r="A2" s="152" t="s">
        <v>72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19" x14ac:dyDescent="0.25">
      <c r="A4" s="153">
        <v>45016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800385570.48000002</v>
      </c>
      <c r="C8" s="7">
        <v>800420899.48000002</v>
      </c>
      <c r="D8" s="7">
        <v>13849974.869999999</v>
      </c>
      <c r="E8" s="7">
        <v>771917063.46000016</v>
      </c>
      <c r="F8" s="7">
        <v>0</v>
      </c>
      <c r="G8" s="7">
        <f t="shared" ref="G8:G28" si="0">SUM(E8:F8)</f>
        <v>771917063.46000016</v>
      </c>
      <c r="H8" s="7">
        <f t="shared" ref="H8:H11" si="1">C8-G8</f>
        <v>28503836.019999862</v>
      </c>
      <c r="I8" s="35">
        <f>IF(C8=0,"NA",H8/C8)</f>
        <v>3.5611059179636126E-2</v>
      </c>
      <c r="L8"/>
      <c r="M8" s="148"/>
      <c r="N8" s="148"/>
      <c r="O8" s="148"/>
      <c r="P8" s="148"/>
      <c r="Q8" s="148"/>
    </row>
    <row r="9" spans="1:19" s="5" customFormat="1" x14ac:dyDescent="0.2">
      <c r="A9" s="6" t="s">
        <v>9</v>
      </c>
      <c r="B9" s="7">
        <v>90000</v>
      </c>
      <c r="C9" s="7">
        <v>90000</v>
      </c>
      <c r="D9" s="7">
        <v>1896424.91</v>
      </c>
      <c r="E9" s="7">
        <v>9364677.7799999993</v>
      </c>
      <c r="F9" s="7">
        <v>0</v>
      </c>
      <c r="G9" s="7">
        <f>SUM(E9:F9)</f>
        <v>9364677.7799999993</v>
      </c>
      <c r="H9" s="7">
        <f>C9-G9</f>
        <v>-9274677.7799999993</v>
      </c>
      <c r="I9" s="35">
        <f t="shared" ref="I9:I28" si="2">IF(C9=0,"NA",H9/C9)</f>
        <v>-103.05197533333333</v>
      </c>
      <c r="L9"/>
      <c r="M9" s="148"/>
      <c r="N9" s="148"/>
      <c r="O9" s="148"/>
      <c r="P9" s="148"/>
      <c r="Q9" s="148"/>
    </row>
    <row r="10" spans="1:19" s="5" customFormat="1" x14ac:dyDescent="0.2">
      <c r="A10" s="6" t="s">
        <v>10</v>
      </c>
      <c r="B10" s="7">
        <v>502758836.51999998</v>
      </c>
      <c r="C10" s="7">
        <v>503799794.62</v>
      </c>
      <c r="D10" s="7">
        <v>49519466.850000001</v>
      </c>
      <c r="E10" s="7">
        <v>352876645.63</v>
      </c>
      <c r="F10" s="7">
        <v>0</v>
      </c>
      <c r="G10" s="7">
        <f t="shared" si="0"/>
        <v>352876645.63</v>
      </c>
      <c r="H10" s="7">
        <f t="shared" si="1"/>
        <v>150923148.99000001</v>
      </c>
      <c r="I10" s="35">
        <f t="shared" si="2"/>
        <v>0.29956969137678291</v>
      </c>
      <c r="L10"/>
      <c r="M10" s="148"/>
      <c r="N10" s="148"/>
      <c r="O10" s="148"/>
      <c r="P10" s="148"/>
      <c r="Q10" s="148"/>
    </row>
    <row r="11" spans="1:19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9749.3799999999992</v>
      </c>
      <c r="F11" s="7">
        <v>0</v>
      </c>
      <c r="G11" s="7">
        <f t="shared" si="0"/>
        <v>9749.3799999999992</v>
      </c>
      <c r="H11" s="7">
        <f t="shared" si="1"/>
        <v>1438506.62</v>
      </c>
      <c r="I11" s="35">
        <f t="shared" si="2"/>
        <v>0.99326819291616963</v>
      </c>
      <c r="L11"/>
      <c r="M11" s="148"/>
      <c r="N11" s="148"/>
      <c r="O11" s="148"/>
      <c r="P11" s="148"/>
      <c r="Q11" s="148"/>
    </row>
    <row r="12" spans="1:19" s="5" customFormat="1" ht="24.95" customHeigh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1305758950.0999999</v>
      </c>
      <c r="D12" s="11">
        <f t="shared" si="3"/>
        <v>65265866.630000003</v>
      </c>
      <c r="E12" s="11">
        <f t="shared" si="3"/>
        <v>1134168136.2500002</v>
      </c>
      <c r="F12" s="11">
        <f t="shared" si="3"/>
        <v>0</v>
      </c>
      <c r="G12" s="11">
        <f t="shared" si="3"/>
        <v>1134168136.2500002</v>
      </c>
      <c r="H12" s="11">
        <f t="shared" si="3"/>
        <v>171590813.84999987</v>
      </c>
      <c r="I12" s="36">
        <f t="shared" si="2"/>
        <v>0.13141078897974148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706077410.91999996</v>
      </c>
      <c r="C13" s="13">
        <v>707439127.16000032</v>
      </c>
      <c r="D13" s="13">
        <v>70216909.210001424</v>
      </c>
      <c r="E13" s="13">
        <v>537344057.50000226</v>
      </c>
      <c r="F13" s="13">
        <v>4018801.5700000059</v>
      </c>
      <c r="G13" s="13">
        <f t="shared" si="0"/>
        <v>541362859.07000232</v>
      </c>
      <c r="H13" s="13">
        <f t="shared" ref="H13:H28" si="4">C13-G13</f>
        <v>166076268.08999801</v>
      </c>
      <c r="I13" s="35">
        <f t="shared" si="2"/>
        <v>0.23475697302283483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138561844.03999999</v>
      </c>
      <c r="C14" s="7">
        <v>137522673.54000002</v>
      </c>
      <c r="D14" s="7">
        <v>6473181.319999923</v>
      </c>
      <c r="E14" s="7">
        <v>49771580.17999991</v>
      </c>
      <c r="F14" s="7">
        <v>1720696.9200000002</v>
      </c>
      <c r="G14" s="7">
        <f t="shared" si="0"/>
        <v>51492277.099999912</v>
      </c>
      <c r="H14" s="7">
        <f t="shared" si="4"/>
        <v>86030396.440000117</v>
      </c>
      <c r="I14" s="35">
        <f t="shared" si="2"/>
        <v>0.62557245453039567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24523630.5</v>
      </c>
      <c r="C15" s="7">
        <v>19023668.340000004</v>
      </c>
      <c r="D15" s="7">
        <v>1240823.5300000003</v>
      </c>
      <c r="E15" s="7">
        <v>10701364.280000011</v>
      </c>
      <c r="F15" s="7">
        <v>332371.97999999992</v>
      </c>
      <c r="G15" s="7">
        <f t="shared" si="0"/>
        <v>11033736.260000011</v>
      </c>
      <c r="H15" s="7">
        <f t="shared" si="4"/>
        <v>7989932.0799999926</v>
      </c>
      <c r="I15" s="35">
        <f t="shared" si="2"/>
        <v>0.41999954673305617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1135153.98</v>
      </c>
      <c r="C16" s="7">
        <v>607440.98</v>
      </c>
      <c r="D16" s="7">
        <v>4049.09</v>
      </c>
      <c r="E16" s="7">
        <v>219553.2200000002</v>
      </c>
      <c r="F16" s="7">
        <v>6965</v>
      </c>
      <c r="G16" s="7">
        <f t="shared" si="0"/>
        <v>226518.2200000002</v>
      </c>
      <c r="H16" s="7">
        <f t="shared" si="4"/>
        <v>380922.75999999978</v>
      </c>
      <c r="I16" s="35">
        <f t="shared" si="2"/>
        <v>0.62709427342225044</v>
      </c>
      <c r="M16" s="138"/>
      <c r="N16" s="138"/>
      <c r="O16" s="138"/>
      <c r="P16" s="138"/>
      <c r="Q16" s="138"/>
    </row>
    <row r="17" spans="1:19" s="5" customFormat="1" x14ac:dyDescent="0.2">
      <c r="A17" s="6" t="s">
        <v>17</v>
      </c>
      <c r="B17" s="7">
        <v>16664317.899999974</v>
      </c>
      <c r="C17" s="7">
        <v>16827699.009999976</v>
      </c>
      <c r="D17" s="7">
        <v>1231238.2600000061</v>
      </c>
      <c r="E17" s="7">
        <v>9197672.7200000063</v>
      </c>
      <c r="F17" s="7">
        <v>103555.62999999999</v>
      </c>
      <c r="G17" s="7">
        <f t="shared" si="0"/>
        <v>9301228.3500000071</v>
      </c>
      <c r="H17" s="7">
        <f t="shared" si="4"/>
        <v>7526470.6599999685</v>
      </c>
      <c r="I17" s="35">
        <f t="shared" si="2"/>
        <v>0.44726677459154168</v>
      </c>
      <c r="M17" s="138"/>
      <c r="N17" s="138"/>
      <c r="O17" s="138"/>
      <c r="P17" s="138"/>
      <c r="Q17" s="138"/>
    </row>
    <row r="18" spans="1:19" s="5" customFormat="1" x14ac:dyDescent="0.2">
      <c r="A18" s="6" t="s">
        <v>18</v>
      </c>
      <c r="B18" s="7">
        <v>44175446.220000006</v>
      </c>
      <c r="C18" s="7">
        <v>44274349.620000012</v>
      </c>
      <c r="D18" s="7">
        <v>1392111.380000002</v>
      </c>
      <c r="E18" s="7">
        <v>33719824.850000001</v>
      </c>
      <c r="F18" s="7">
        <v>399287.51000000007</v>
      </c>
      <c r="G18" s="7">
        <f t="shared" si="0"/>
        <v>34119112.359999999</v>
      </c>
      <c r="H18" s="7">
        <f t="shared" si="4"/>
        <v>10155237.260000013</v>
      </c>
      <c r="I18" s="35">
        <f t="shared" si="2"/>
        <v>0.22937067053860452</v>
      </c>
      <c r="M18" s="138"/>
      <c r="N18" s="138"/>
      <c r="O18" s="138"/>
      <c r="P18" s="138"/>
      <c r="Q18" s="138"/>
    </row>
    <row r="19" spans="1:19" s="5" customFormat="1" x14ac:dyDescent="0.2">
      <c r="A19" s="6" t="s">
        <v>19</v>
      </c>
      <c r="B19" s="7">
        <v>74209903.609999985</v>
      </c>
      <c r="C19" s="7">
        <v>73639510.609999985</v>
      </c>
      <c r="D19" s="7">
        <v>6654457.4299999196</v>
      </c>
      <c r="E19" s="7">
        <v>56449478.959999889</v>
      </c>
      <c r="F19" s="7">
        <v>9409.4500000000007</v>
      </c>
      <c r="G19" s="7">
        <f t="shared" si="0"/>
        <v>56458888.409999892</v>
      </c>
      <c r="H19" s="7">
        <f t="shared" si="4"/>
        <v>17180622.200000092</v>
      </c>
      <c r="I19" s="35">
        <f t="shared" si="2"/>
        <v>0.23330712083340521</v>
      </c>
      <c r="M19" s="138"/>
      <c r="N19" s="138"/>
      <c r="O19" s="138"/>
      <c r="P19" s="138"/>
      <c r="Q19" s="138"/>
    </row>
    <row r="20" spans="1:19" s="5" customFormat="1" x14ac:dyDescent="0.2">
      <c r="A20" s="6" t="s">
        <v>20</v>
      </c>
      <c r="B20" s="7">
        <v>18798662.91</v>
      </c>
      <c r="C20" s="7">
        <v>18620758.91</v>
      </c>
      <c r="D20" s="7">
        <v>1244614.8099999996</v>
      </c>
      <c r="E20" s="7">
        <v>11226454.58</v>
      </c>
      <c r="F20" s="7">
        <v>637566.09</v>
      </c>
      <c r="G20" s="7">
        <f t="shared" si="0"/>
        <v>11864020.67</v>
      </c>
      <c r="H20" s="7">
        <f t="shared" si="4"/>
        <v>6756738.2400000002</v>
      </c>
      <c r="I20" s="35">
        <f t="shared" si="2"/>
        <v>0.36286051887881943</v>
      </c>
      <c r="M20" s="138"/>
      <c r="N20" s="138"/>
      <c r="O20" s="138"/>
      <c r="P20" s="138"/>
      <c r="Q20" s="138"/>
    </row>
    <row r="21" spans="1:19" s="5" customFormat="1" x14ac:dyDescent="0.2">
      <c r="A21" s="6" t="s">
        <v>21</v>
      </c>
      <c r="B21" s="7">
        <v>180228363.12999997</v>
      </c>
      <c r="C21" s="7">
        <v>181124143.12999997</v>
      </c>
      <c r="D21" s="7">
        <v>12768307.069999944</v>
      </c>
      <c r="E21" s="7">
        <v>89708360.089999944</v>
      </c>
      <c r="F21" s="7">
        <v>23988558.710000001</v>
      </c>
      <c r="G21" s="7">
        <f t="shared" si="0"/>
        <v>113696918.79999995</v>
      </c>
      <c r="H21" s="7">
        <f t="shared" si="4"/>
        <v>67427224.330000013</v>
      </c>
      <c r="I21" s="35">
        <f t="shared" si="2"/>
        <v>0.37227077055986307</v>
      </c>
      <c r="M21" s="138"/>
      <c r="N21" s="138"/>
      <c r="O21" s="138"/>
      <c r="P21" s="138"/>
      <c r="Q21" s="138"/>
    </row>
    <row r="22" spans="1:19" s="5" customFormat="1" x14ac:dyDescent="0.2">
      <c r="A22" s="6" t="s">
        <v>22</v>
      </c>
      <c r="B22" s="7">
        <v>81128867.840000004</v>
      </c>
      <c r="C22" s="7">
        <v>83537532.74000001</v>
      </c>
      <c r="D22" s="7">
        <v>7114805.3600000003</v>
      </c>
      <c r="E22" s="7">
        <v>45765547.389999993</v>
      </c>
      <c r="F22" s="7">
        <v>6035260.5999999996</v>
      </c>
      <c r="G22" s="7">
        <f t="shared" si="0"/>
        <v>51800807.989999995</v>
      </c>
      <c r="H22" s="7">
        <f t="shared" si="4"/>
        <v>31736724.750000015</v>
      </c>
      <c r="I22" s="35">
        <f t="shared" si="2"/>
        <v>0.37990976880747185</v>
      </c>
      <c r="M22" s="138"/>
      <c r="N22" s="138"/>
      <c r="O22" s="138"/>
      <c r="P22" s="138"/>
      <c r="Q22" s="138"/>
    </row>
    <row r="23" spans="1:19" s="5" customFormat="1" x14ac:dyDescent="0.2">
      <c r="A23" s="6" t="s">
        <v>23</v>
      </c>
      <c r="B23" s="7">
        <v>28852493.619999994</v>
      </c>
      <c r="C23" s="7">
        <v>31147059.499999989</v>
      </c>
      <c r="D23" s="7">
        <v>2447444.9800000014</v>
      </c>
      <c r="E23" s="7">
        <v>20588071.739999991</v>
      </c>
      <c r="F23" s="7">
        <v>1096825.0999999999</v>
      </c>
      <c r="G23" s="7">
        <f t="shared" si="0"/>
        <v>21684896.839999992</v>
      </c>
      <c r="H23" s="7">
        <f t="shared" si="4"/>
        <v>9462162.6599999964</v>
      </c>
      <c r="I23" s="35">
        <f t="shared" si="2"/>
        <v>0.30378991827462876</v>
      </c>
      <c r="M23" s="138"/>
      <c r="N23" s="138"/>
      <c r="O23" s="138"/>
      <c r="P23" s="138"/>
      <c r="Q23" s="138"/>
    </row>
    <row r="24" spans="1:19" s="5" customFormat="1" x14ac:dyDescent="0.25">
      <c r="A24" s="6" t="s">
        <v>24</v>
      </c>
      <c r="B24" s="7">
        <v>1932771.7399999998</v>
      </c>
      <c r="C24" s="7">
        <v>1897063.7399999998</v>
      </c>
      <c r="D24" s="7">
        <v>103347.70000000001</v>
      </c>
      <c r="E24" s="7">
        <v>799115.48000000021</v>
      </c>
      <c r="F24" s="7">
        <v>0</v>
      </c>
      <c r="G24" s="7">
        <f t="shared" si="0"/>
        <v>799115.48000000021</v>
      </c>
      <c r="H24" s="7">
        <f t="shared" si="4"/>
        <v>1097948.2599999995</v>
      </c>
      <c r="I24" s="35">
        <f t="shared" si="2"/>
        <v>0.57876192394041526</v>
      </c>
      <c r="L24" s="1"/>
      <c r="M24" s="137"/>
      <c r="N24" s="137"/>
      <c r="O24" s="137"/>
      <c r="P24" s="137"/>
      <c r="Q24" s="137"/>
    </row>
    <row r="25" spans="1:19" s="5" customFormat="1" x14ac:dyDescent="0.25">
      <c r="A25" s="6" t="s">
        <v>31</v>
      </c>
      <c r="B25" s="7">
        <v>1005000</v>
      </c>
      <c r="C25" s="7">
        <v>1005000</v>
      </c>
      <c r="D25" s="7">
        <v>1076.5</v>
      </c>
      <c r="E25" s="7">
        <v>681082.53999999922</v>
      </c>
      <c r="F25" s="7">
        <v>0</v>
      </c>
      <c r="G25" s="7">
        <f t="shared" si="0"/>
        <v>681082.53999999922</v>
      </c>
      <c r="H25" s="7">
        <f t="shared" si="4"/>
        <v>323917.46000000078</v>
      </c>
      <c r="I25" s="35">
        <f t="shared" si="2"/>
        <v>0.3223059303482595</v>
      </c>
      <c r="L25" s="1"/>
      <c r="M25" s="137"/>
      <c r="N25" s="137"/>
      <c r="O25" s="137"/>
      <c r="P25" s="137"/>
      <c r="Q25" s="137"/>
    </row>
    <row r="26" spans="1:19" s="5" customFormat="1" x14ac:dyDescent="0.25">
      <c r="A26" s="6" t="s">
        <v>33</v>
      </c>
      <c r="B26" s="7">
        <v>1346246.49</v>
      </c>
      <c r="C26" s="7">
        <v>1039246.49</v>
      </c>
      <c r="D26" s="7">
        <v>0</v>
      </c>
      <c r="E26" s="7">
        <v>4588.75</v>
      </c>
      <c r="F26" s="7">
        <v>0</v>
      </c>
      <c r="G26" s="7">
        <f t="shared" ref="G26" si="5">SUM(E26:F26)</f>
        <v>4588.75</v>
      </c>
      <c r="H26" s="7">
        <f t="shared" ref="H26" si="6">C26-G26</f>
        <v>1034657.74</v>
      </c>
      <c r="I26" s="35">
        <f t="shared" ref="I26" si="7">IF(C26=0,"NA",H26/C26)</f>
        <v>0.99558454125738738</v>
      </c>
      <c r="K26" s="1"/>
      <c r="L26" s="1"/>
      <c r="M26" s="137"/>
      <c r="N26" s="137"/>
      <c r="O26" s="137"/>
      <c r="P26" s="137"/>
      <c r="Q26" s="137"/>
      <c r="R26" s="1"/>
    </row>
    <row r="27" spans="1:19" s="5" customFormat="1" x14ac:dyDescent="0.25">
      <c r="A27" s="6" t="s">
        <v>26</v>
      </c>
      <c r="B27" s="7">
        <v>7837334</v>
      </c>
      <c r="C27" s="7">
        <v>7837334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7837334</v>
      </c>
      <c r="I27" s="35">
        <f t="shared" si="2"/>
        <v>1</v>
      </c>
      <c r="K27" s="1"/>
      <c r="L27" s="1"/>
      <c r="M27" s="1"/>
      <c r="N27" s="1"/>
      <c r="O27" s="1"/>
      <c r="P27" s="1"/>
      <c r="Q27" s="1"/>
      <c r="R27" s="1"/>
    </row>
    <row r="28" spans="1:19" s="5" customFormat="1" x14ac:dyDescent="0.25">
      <c r="A28" s="6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  <c r="S28" s="1"/>
    </row>
    <row r="29" spans="1:19" s="5" customFormat="1" ht="24.95" customHeight="1" x14ac:dyDescent="0.25">
      <c r="A29" s="10" t="s">
        <v>27</v>
      </c>
      <c r="B29" s="11">
        <f t="shared" ref="B29:H29" si="8">SUM(B13:B28)</f>
        <v>1326477446.8999996</v>
      </c>
      <c r="C29" s="11">
        <f t="shared" si="8"/>
        <v>1325542607.7700002</v>
      </c>
      <c r="D29" s="11">
        <f t="shared" si="8"/>
        <v>110892366.64000122</v>
      </c>
      <c r="E29" s="11">
        <f t="shared" si="8"/>
        <v>866176752.28000212</v>
      </c>
      <c r="F29" s="11">
        <f t="shared" si="8"/>
        <v>38349298.56000001</v>
      </c>
      <c r="G29" s="11">
        <f t="shared" si="8"/>
        <v>904526050.84000206</v>
      </c>
      <c r="H29" s="11">
        <f t="shared" si="8"/>
        <v>421016556.9299981</v>
      </c>
      <c r="I29" s="36">
        <f>IF(C29=0,"NA",H29/C29)</f>
        <v>0.31761827531012887</v>
      </c>
      <c r="L29" s="1"/>
      <c r="M29" s="137"/>
      <c r="N29" s="137"/>
      <c r="O29" s="137"/>
      <c r="P29" s="137"/>
      <c r="Q29" s="137"/>
      <c r="R29" s="1"/>
    </row>
    <row r="30" spans="1:19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37"/>
      <c r="N30" s="137"/>
      <c r="O30" s="137"/>
      <c r="P30" s="137"/>
      <c r="Q30" s="137"/>
      <c r="R30" s="1"/>
    </row>
    <row r="31" spans="1:19" s="5" customFormat="1" ht="24.95" customHeight="1" x14ac:dyDescent="0.25">
      <c r="A31" s="6" t="s">
        <v>28</v>
      </c>
      <c r="B31" s="7">
        <f>B12-B29</f>
        <v>-21794783.899999619</v>
      </c>
      <c r="C31" s="7">
        <f>C12-C29</f>
        <v>-19783657.670000315</v>
      </c>
      <c r="D31" s="7">
        <f>D12-D29</f>
        <v>-45626500.01000122</v>
      </c>
      <c r="E31" s="7">
        <f>E12-E29</f>
        <v>267991383.96999812</v>
      </c>
      <c r="F31" s="7"/>
      <c r="G31" s="7">
        <f>G12-G29</f>
        <v>229642085.40999818</v>
      </c>
      <c r="H31" s="7"/>
      <c r="I31" s="16"/>
      <c r="K31" s="1"/>
      <c r="L31" s="1"/>
      <c r="M31" s="137"/>
      <c r="N31" s="137"/>
      <c r="O31" s="137"/>
      <c r="P31" s="137"/>
      <c r="Q31" s="137"/>
      <c r="R31" s="1"/>
    </row>
    <row r="32" spans="1:19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37"/>
      <c r="N32" s="137"/>
      <c r="O32" s="137"/>
      <c r="P32" s="137"/>
      <c r="Q32" s="137"/>
      <c r="R32" s="1"/>
      <c r="S32" s="1"/>
    </row>
    <row r="33" spans="1:21" s="5" customFormat="1" x14ac:dyDescent="0.25">
      <c r="A33" s="146" t="s">
        <v>78</v>
      </c>
      <c r="B33" s="20"/>
      <c r="C33" s="20"/>
      <c r="D33" s="20"/>
      <c r="E33" s="20">
        <v>265464594.49999699</v>
      </c>
      <c r="F33" s="20"/>
      <c r="G33" s="20">
        <f>E33</f>
        <v>265464594.49999699</v>
      </c>
      <c r="H33" s="20"/>
      <c r="I33" s="21"/>
      <c r="K33" s="1"/>
      <c r="L33" s="1"/>
      <c r="M33" s="137"/>
      <c r="N33" s="137"/>
      <c r="O33" s="137"/>
      <c r="P33" s="137"/>
      <c r="Q33" s="137"/>
      <c r="R33" s="1"/>
      <c r="S33" s="1"/>
      <c r="T33" s="1"/>
      <c r="U33" s="1"/>
    </row>
    <row r="34" spans="1:21" s="5" customFormat="1" x14ac:dyDescent="0.25">
      <c r="A34" s="146" t="s">
        <v>79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80</v>
      </c>
      <c r="B35" s="20"/>
      <c r="C35" s="20"/>
      <c r="D35" s="20"/>
      <c r="E35" s="20">
        <f>E33-E34</f>
        <v>220464594.49999699</v>
      </c>
      <c r="F35" s="20"/>
      <c r="G35" s="20">
        <f>E35</f>
        <v>220464594.49999699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29</v>
      </c>
      <c r="B36" s="24"/>
      <c r="C36" s="24"/>
      <c r="D36" s="24"/>
      <c r="E36" s="24">
        <f>+E35+E31</f>
        <v>488455978.46999514</v>
      </c>
      <c r="F36" s="24"/>
      <c r="G36" s="24">
        <f>+G35+G31</f>
        <v>450106679.9099952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37"/>
      <c r="H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37"/>
      <c r="H40" s="137"/>
      <c r="M40" s="1"/>
      <c r="N40" s="1"/>
      <c r="O40" s="1"/>
      <c r="P40" s="1"/>
      <c r="Q40" s="1"/>
    </row>
    <row r="41" spans="1:21" x14ac:dyDescent="0.25">
      <c r="B41" s="137"/>
      <c r="C41" s="137"/>
      <c r="D41" s="137"/>
      <c r="E41" s="137"/>
      <c r="F41" s="137"/>
      <c r="G41" s="137"/>
      <c r="H41" s="137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L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7"/>
      <c r="C57" s="137"/>
      <c r="D57" s="137"/>
      <c r="E57" s="137"/>
      <c r="F57" s="1"/>
      <c r="G57" s="1"/>
      <c r="H57" s="1"/>
      <c r="M57" s="1"/>
      <c r="N57" s="1"/>
      <c r="O57" s="1"/>
      <c r="P57" s="1"/>
      <c r="Q57" s="1"/>
    </row>
    <row r="58" spans="2:17" x14ac:dyDescent="0.25">
      <c r="B58" s="137"/>
      <c r="C58" s="137"/>
      <c r="D58" s="137"/>
      <c r="E58" s="137"/>
      <c r="F58" s="1"/>
      <c r="G58" s="1"/>
      <c r="H58" s="1"/>
      <c r="L58" s="137"/>
      <c r="N58" s="1"/>
      <c r="O58" s="1"/>
      <c r="P58" s="1"/>
      <c r="Q58" s="1"/>
    </row>
    <row r="59" spans="2:17" x14ac:dyDescent="0.25">
      <c r="B59" s="137"/>
      <c r="C59" s="137"/>
      <c r="D59" s="137"/>
      <c r="E59" s="137"/>
      <c r="F59" s="1"/>
      <c r="G59" s="1"/>
      <c r="H59" s="1"/>
      <c r="L59" s="137"/>
      <c r="P59" s="1"/>
      <c r="Q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  <c r="L60" s="137"/>
      <c r="P60" s="1"/>
      <c r="Q60" s="1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A33" workbookViewId="0">
      <selection activeCell="A55" sqref="A55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6" width="13.42578125" style="50" bestFit="1" customWidth="1"/>
    <col min="17" max="17" width="12.5703125" style="50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77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40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41</v>
      </c>
      <c r="C5" s="54" t="s">
        <v>42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43</v>
      </c>
      <c r="B6" s="56">
        <v>1325542607.77</v>
      </c>
      <c r="C6" s="57">
        <f>SUM(F25:Q25)</f>
        <v>866176752.28000152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44</v>
      </c>
      <c r="F7" s="61" t="s">
        <v>45</v>
      </c>
      <c r="G7" s="62" t="s">
        <v>46</v>
      </c>
      <c r="H7" s="62" t="s">
        <v>47</v>
      </c>
      <c r="I7" s="62" t="s">
        <v>48</v>
      </c>
      <c r="J7" s="62" t="s">
        <v>49</v>
      </c>
      <c r="K7" s="62" t="s">
        <v>50</v>
      </c>
      <c r="L7" s="62" t="s">
        <v>51</v>
      </c>
      <c r="M7" s="62" t="s">
        <v>52</v>
      </c>
      <c r="N7" s="62" t="s">
        <v>53</v>
      </c>
      <c r="O7" s="62" t="s">
        <v>54</v>
      </c>
      <c r="P7" s="62" t="s">
        <v>55</v>
      </c>
      <c r="Q7" s="63" t="s">
        <v>56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537344057.50000226</v>
      </c>
      <c r="F9" s="50">
        <f>9808420.78-801492.680000011</f>
        <v>9006928.0999999885</v>
      </c>
      <c r="G9" s="50">
        <f>12409518.8299999-402448.789999992</f>
        <v>12007070.039999908</v>
      </c>
      <c r="H9" s="50">
        <f>70514974.5300016+22512.8699983358</f>
        <v>70537487.399999931</v>
      </c>
      <c r="I9" s="50">
        <f>71835021.2100015+31672.38</f>
        <v>71866693.590001494</v>
      </c>
      <c r="J9" s="50">
        <f>68948166.4000016 + 5566429.94999957</f>
        <v>74514596.350001171</v>
      </c>
      <c r="K9" s="50">
        <f>72382507.6800014-14170.4900033473</f>
        <v>72368337.189998046</v>
      </c>
      <c r="L9" s="50">
        <f>70932368.2900015+19166.3300010561</f>
        <v>70951534.620002553</v>
      </c>
      <c r="M9" s="50">
        <f>85817890.3400019+56610.6599959135</f>
        <v>85874500.99999781</v>
      </c>
      <c r="N9" s="50">
        <v>70216909.210001424</v>
      </c>
      <c r="P9" s="51"/>
      <c r="Q9" s="51"/>
      <c r="R9" s="51" t="s">
        <v>13</v>
      </c>
      <c r="S9" s="99">
        <v>537344057.50000226</v>
      </c>
      <c r="T9" s="99">
        <f>S9-E9</f>
        <v>0</v>
      </c>
      <c r="U9" s="99">
        <v>56610.659995913498</v>
      </c>
    </row>
    <row r="10" spans="1:21" x14ac:dyDescent="0.2">
      <c r="B10" s="50"/>
      <c r="D10" s="52" t="s">
        <v>14</v>
      </c>
      <c r="E10" s="65">
        <f t="shared" ref="E10:E24" si="0">SUM(F10:Q10)</f>
        <v>49771580.17999991</v>
      </c>
      <c r="F10" s="50">
        <f>744217.770000002+10105.1699999985</f>
        <v>754322.94000000053</v>
      </c>
      <c r="G10" s="50">
        <f>1863052.67999999+6695.29000000283</f>
        <v>1869747.9699999928</v>
      </c>
      <c r="H10" s="50">
        <f>6535361.87999997+9897.4400000181</f>
        <v>6545259.3199999882</v>
      </c>
      <c r="I10" s="50">
        <v>6551632.0899999309</v>
      </c>
      <c r="J10" s="50">
        <f>6704104.91999993 + 9821.08000003173</f>
        <v>6713925.9999999618</v>
      </c>
      <c r="K10" s="50">
        <f>7025545.40999994+19794.8800001814</f>
        <v>7045340.2900001211</v>
      </c>
      <c r="L10" s="50">
        <f>6431955.31999996+9897.43999997526</f>
        <v>6441852.7599999355</v>
      </c>
      <c r="M10" s="50">
        <f>7366420.04999993+9897.44000012427</f>
        <v>7376317.4900000542</v>
      </c>
      <c r="N10" s="50">
        <v>6473181.319999923</v>
      </c>
      <c r="P10" s="51"/>
      <c r="Q10" s="51"/>
      <c r="R10" s="51" t="s">
        <v>14</v>
      </c>
      <c r="S10" s="99">
        <v>49771580.17999991</v>
      </c>
      <c r="T10" s="99">
        <f t="shared" ref="T10:T24" si="1">S10-E10</f>
        <v>0</v>
      </c>
      <c r="U10" s="99">
        <v>9897.4400001242702</v>
      </c>
    </row>
    <row r="11" spans="1:21" x14ac:dyDescent="0.2">
      <c r="B11" s="50"/>
      <c r="D11" s="52" t="s">
        <v>15</v>
      </c>
      <c r="E11" s="65">
        <f t="shared" si="0"/>
        <v>10701364.280000009</v>
      </c>
      <c r="F11" s="50">
        <f>1063610.27-3992.91000000014</f>
        <v>1059617.3599999999</v>
      </c>
      <c r="G11" s="50">
        <f>1799349.93+20302.8100000009</f>
        <v>1819652.7400000009</v>
      </c>
      <c r="H11" s="50">
        <f>1075530.85+6467.12999999802</f>
        <v>1081997.9799999981</v>
      </c>
      <c r="I11" s="50">
        <f>1072231.25+415.79</f>
        <v>1072647.04</v>
      </c>
      <c r="J11" s="50">
        <f>975226.580000001 -9337.46000000089</f>
        <v>965889.12000000011</v>
      </c>
      <c r="K11" s="50">
        <f>1120657.99+-19794.9199999952</f>
        <v>1100863.0700000047</v>
      </c>
      <c r="L11" s="50">
        <f>1007257.49-9178.0299999956</f>
        <v>998079.46000000439</v>
      </c>
      <c r="M11" s="50">
        <f>1359637.53+2156.45000000111</f>
        <v>1361793.9800000011</v>
      </c>
      <c r="N11" s="50">
        <v>1240823.5300000003</v>
      </c>
      <c r="P11" s="51"/>
      <c r="Q11" s="51"/>
      <c r="R11" s="51" t="s">
        <v>15</v>
      </c>
      <c r="S11" s="99">
        <v>10701364.280000011</v>
      </c>
      <c r="T11" s="99">
        <f t="shared" si="1"/>
        <v>0</v>
      </c>
      <c r="U11" s="99">
        <v>2156.4500000011099</v>
      </c>
    </row>
    <row r="12" spans="1:21" x14ac:dyDescent="0.2">
      <c r="B12" s="50"/>
      <c r="D12" s="52" t="s">
        <v>16</v>
      </c>
      <c r="E12" s="65">
        <f t="shared" si="0"/>
        <v>219553.2200000002</v>
      </c>
      <c r="F12" s="50">
        <v>0</v>
      </c>
      <c r="G12" s="50">
        <v>350</v>
      </c>
      <c r="H12" s="50">
        <v>815.89999999999986</v>
      </c>
      <c r="I12" s="50">
        <v>0</v>
      </c>
      <c r="J12" s="50">
        <v>0</v>
      </c>
      <c r="K12" s="50">
        <v>44946.500000000036</v>
      </c>
      <c r="L12" s="50">
        <v>-3290.4</v>
      </c>
      <c r="M12" s="50">
        <f>171682.13+1000.00000000017</f>
        <v>172682.13000000018</v>
      </c>
      <c r="N12" s="50">
        <v>4049.09</v>
      </c>
      <c r="P12" s="51"/>
      <c r="Q12" s="51"/>
      <c r="R12" s="51" t="s">
        <v>16</v>
      </c>
      <c r="S12" s="99">
        <v>219553.2200000002</v>
      </c>
      <c r="T12" s="99">
        <f t="shared" si="1"/>
        <v>0</v>
      </c>
      <c r="U12" s="99">
        <v>1000.00000000017</v>
      </c>
    </row>
    <row r="13" spans="1:21" x14ac:dyDescent="0.2">
      <c r="B13" s="50"/>
      <c r="D13" s="52" t="s">
        <v>17</v>
      </c>
      <c r="E13" s="65">
        <f t="shared" si="0"/>
        <v>9197672.7200000118</v>
      </c>
      <c r="F13" s="50">
        <v>48606.109999999986</v>
      </c>
      <c r="G13" s="50">
        <f>67238.6+3580.15000000013</f>
        <v>70818.750000000131</v>
      </c>
      <c r="H13" s="50">
        <f>1142256.26000001+1337.05999999167</f>
        <v>1143593.3200000017</v>
      </c>
      <c r="I13" s="50">
        <f>1147318.31+8164.14</f>
        <v>1155482.45</v>
      </c>
      <c r="J13" s="50">
        <v>1372314.1600000055</v>
      </c>
      <c r="K13" s="50">
        <f>1170647.16000001+6760.21999999601</f>
        <v>1177407.3800000059</v>
      </c>
      <c r="L13" s="50">
        <f>1440021.42000001+81456.0399999777</f>
        <v>1521477.4599999876</v>
      </c>
      <c r="M13" s="50">
        <f>1314374.69000001+162360.139999995</f>
        <v>1476734.830000005</v>
      </c>
      <c r="N13" s="50">
        <v>1231238.2600000061</v>
      </c>
      <c r="P13" s="51"/>
      <c r="Q13" s="51"/>
      <c r="R13" s="51" t="s">
        <v>17</v>
      </c>
      <c r="S13" s="99">
        <v>9197672.7200000063</v>
      </c>
      <c r="T13" s="99">
        <f t="shared" si="1"/>
        <v>0</v>
      </c>
      <c r="U13" s="99">
        <v>162360.13999999501</v>
      </c>
    </row>
    <row r="14" spans="1:21" x14ac:dyDescent="0.2">
      <c r="B14" s="50"/>
      <c r="D14" s="52" t="s">
        <v>18</v>
      </c>
      <c r="E14" s="65">
        <f t="shared" si="0"/>
        <v>33719824.850000001</v>
      </c>
      <c r="F14" s="50">
        <f>902161.310000002-151.900000002235</f>
        <v>902009.4099999998</v>
      </c>
      <c r="G14" s="50">
        <f>1317728.15-234499.430000001</f>
        <v>1083228.7199999988</v>
      </c>
      <c r="H14" s="50">
        <f>1327756.7+11447.0299999974</f>
        <v>1339203.7299999974</v>
      </c>
      <c r="I14" s="50">
        <f>23715021.81+4963.6</f>
        <v>23719985.41</v>
      </c>
      <c r="J14" s="50">
        <f>1065313.77 + 9418.95999999344</f>
        <v>1074732.7299999935</v>
      </c>
      <c r="K14" s="50">
        <f>1315717.93+18904.8700000159</f>
        <v>1334622.8000000159</v>
      </c>
      <c r="L14" s="50">
        <f>1443954.77+10500.3199999928</f>
        <v>1454455.0899999929</v>
      </c>
      <c r="M14" s="50">
        <f>1410527.69+8947.89000000059</f>
        <v>1419475.5800000005</v>
      </c>
      <c r="N14" s="50">
        <v>1392111.380000002</v>
      </c>
      <c r="P14" s="51"/>
      <c r="Q14" s="51"/>
      <c r="R14" s="51" t="s">
        <v>18</v>
      </c>
      <c r="S14" s="99">
        <v>33719824.850000001</v>
      </c>
      <c r="T14" s="99">
        <f t="shared" si="1"/>
        <v>0</v>
      </c>
      <c r="U14" s="99">
        <v>8947.8900000005906</v>
      </c>
    </row>
    <row r="15" spans="1:21" x14ac:dyDescent="0.2">
      <c r="A15" s="66" t="s">
        <v>57</v>
      </c>
      <c r="B15" s="130">
        <f>B6-C6</f>
        <v>459365855.48999846</v>
      </c>
      <c r="C15" s="67">
        <f>B15/$B$6</f>
        <v>0.34654929445293609</v>
      </c>
      <c r="D15" s="52" t="s">
        <v>19</v>
      </c>
      <c r="E15" s="65">
        <f t="shared" si="0"/>
        <v>56449478.959999278</v>
      </c>
      <c r="F15" s="50">
        <v>2459260.4699999653</v>
      </c>
      <c r="G15" s="50">
        <v>6304768.9399999185</v>
      </c>
      <c r="H15" s="50">
        <v>6721791.7899999144</v>
      </c>
      <c r="I15" s="50">
        <v>6719298.1699999161</v>
      </c>
      <c r="J15" s="50">
        <v>6680159.0899999151</v>
      </c>
      <c r="K15" s="50">
        <v>6782048.3999999026</v>
      </c>
      <c r="L15" s="50">
        <v>6698085.3399999151</v>
      </c>
      <c r="M15" s="50">
        <v>7429609.3299999181</v>
      </c>
      <c r="N15" s="50">
        <v>6654457.4299999196</v>
      </c>
      <c r="P15" s="51"/>
      <c r="Q15" s="51"/>
      <c r="R15" s="51" t="s">
        <v>19</v>
      </c>
      <c r="S15" s="99">
        <v>56449478.959999889</v>
      </c>
      <c r="T15" s="99">
        <f t="shared" si="1"/>
        <v>6.1094760894775391E-7</v>
      </c>
      <c r="U15" s="99">
        <v>6.1094760894775391E-7</v>
      </c>
    </row>
    <row r="16" spans="1:21" x14ac:dyDescent="0.2">
      <c r="A16" s="66" t="s">
        <v>58</v>
      </c>
      <c r="B16" s="130">
        <f>C6</f>
        <v>866176752.28000152</v>
      </c>
      <c r="C16" s="67">
        <f>B16/$B$6</f>
        <v>0.65345070554706397</v>
      </c>
      <c r="D16" s="52" t="s">
        <v>20</v>
      </c>
      <c r="E16" s="65">
        <f t="shared" si="0"/>
        <v>11226454.579999998</v>
      </c>
      <c r="F16" s="50">
        <f>817085.08-53607.0499999998</f>
        <v>763478.03000000014</v>
      </c>
      <c r="G16" s="50">
        <f>2710418.49-144659.630000001</f>
        <v>2565758.8599999994</v>
      </c>
      <c r="H16" s="50">
        <f>1214035.99+2641.18000000063</f>
        <v>1216677.1700000006</v>
      </c>
      <c r="I16" s="50">
        <v>997356.99999999977</v>
      </c>
      <c r="J16" s="50">
        <f>911581.85 + 13540.5299999993</f>
        <v>925122.37999999931</v>
      </c>
      <c r="K16" s="50">
        <v>1590055.7599999998</v>
      </c>
      <c r="L16" s="50">
        <v>868464.77999999956</v>
      </c>
      <c r="M16" s="50">
        <v>1054925.7899999998</v>
      </c>
      <c r="N16" s="50">
        <v>1244614.8099999996</v>
      </c>
      <c r="P16" s="51"/>
      <c r="Q16" s="51"/>
      <c r="R16" s="51" t="s">
        <v>20</v>
      </c>
      <c r="S16" s="99">
        <v>11226454.58</v>
      </c>
      <c r="T16" s="99">
        <f t="shared" si="1"/>
        <v>0</v>
      </c>
      <c r="U16" s="99">
        <v>0</v>
      </c>
    </row>
    <row r="17" spans="1:21" x14ac:dyDescent="0.2">
      <c r="A17" s="52"/>
      <c r="B17" s="49"/>
      <c r="C17" s="52"/>
      <c r="D17" s="68" t="s">
        <v>59</v>
      </c>
      <c r="E17" s="65">
        <f t="shared" si="0"/>
        <v>89708360.089999959</v>
      </c>
      <c r="F17" s="50">
        <f>7467041.91999999-482448.149999987</f>
        <v>6984593.7700000023</v>
      </c>
      <c r="G17" s="50">
        <f>11959707.38+127672.980000019</f>
        <v>12087380.36000002</v>
      </c>
      <c r="H17" s="50">
        <f>9749684.37999997+91950.9500000179</f>
        <v>9841635.329999987</v>
      </c>
      <c r="I17" s="50">
        <f>9963184.68999994+28391.17</f>
        <v>9991575.8599999398</v>
      </c>
      <c r="J17" s="50">
        <f>9465743.70999995 -574874.75999999</f>
        <v>8890868.9499999601</v>
      </c>
      <c r="K17" s="50">
        <f>10573443.54-2503.97999988496</f>
        <v>10570939.560000114</v>
      </c>
      <c r="L17" s="50">
        <v>9527834.4399999771</v>
      </c>
      <c r="M17" s="50">
        <f>8930783.62999993+114441.120000079</f>
        <v>9045224.7500000093</v>
      </c>
      <c r="N17" s="50">
        <v>12768307.069999944</v>
      </c>
      <c r="P17" s="51"/>
      <c r="Q17" s="51"/>
      <c r="R17" s="51" t="s">
        <v>59</v>
      </c>
      <c r="S17" s="99">
        <v>89708360.089999944</v>
      </c>
      <c r="T17" s="99">
        <f t="shared" si="1"/>
        <v>0</v>
      </c>
      <c r="U17" s="99">
        <v>114441.120000079</v>
      </c>
    </row>
    <row r="18" spans="1:21" x14ac:dyDescent="0.2">
      <c r="B18" s="69"/>
      <c r="C18" s="52"/>
      <c r="D18" s="52" t="s">
        <v>22</v>
      </c>
      <c r="E18" s="65">
        <f t="shared" si="0"/>
        <v>45765547.389999993</v>
      </c>
      <c r="F18" s="50">
        <f>1831401.06-160712.99</f>
        <v>1670688.07</v>
      </c>
      <c r="G18" s="50">
        <f>1933177.85-4670.81999999843</f>
        <v>1928507.0300000017</v>
      </c>
      <c r="H18" s="50">
        <f>5047251.77+6097.30999999865</f>
        <v>5053349.0799999982</v>
      </c>
      <c r="I18" s="50">
        <f>5254602.81-2338.28</f>
        <v>5252264.5299999993</v>
      </c>
      <c r="J18" s="50">
        <f>6405332.17-6089.17999999225</f>
        <v>6399242.9900000077</v>
      </c>
      <c r="K18" s="50">
        <f>6839632.45-746.83999999985</f>
        <v>6838885.6100000003</v>
      </c>
      <c r="L18" s="50">
        <v>5120574.38</v>
      </c>
      <c r="M18" s="50">
        <f>6389568.62-2338.28000000864</f>
        <v>6387230.3399999915</v>
      </c>
      <c r="N18" s="50">
        <v>7114805.3600000003</v>
      </c>
      <c r="P18" s="51"/>
      <c r="Q18" s="51"/>
      <c r="R18" s="51" t="s">
        <v>22</v>
      </c>
      <c r="S18" s="99">
        <v>45765547.389999993</v>
      </c>
      <c r="T18" s="99">
        <f t="shared" si="1"/>
        <v>0</v>
      </c>
      <c r="U18" s="99">
        <v>-2338.2800000086399</v>
      </c>
    </row>
    <row r="19" spans="1:21" x14ac:dyDescent="0.2">
      <c r="A19" s="52"/>
      <c r="B19" s="49"/>
      <c r="C19" s="52"/>
      <c r="D19" s="52" t="s">
        <v>23</v>
      </c>
      <c r="E19" s="65">
        <f t="shared" si="0"/>
        <v>20588071.739999987</v>
      </c>
      <c r="F19" s="50">
        <f>2565201.92-11227.7600000025</f>
        <v>2553974.1599999974</v>
      </c>
      <c r="G19" s="50">
        <f>2054985.04-314096.689999999</f>
        <v>1740888.350000001</v>
      </c>
      <c r="H19" s="50">
        <f>2540314.96+119.990000003948</f>
        <v>2540434.9500000039</v>
      </c>
      <c r="I19" s="50">
        <f>2196393.6+619.78</f>
        <v>2197013.38</v>
      </c>
      <c r="J19" s="50">
        <f>1840180.69 -49024.5200000051</f>
        <v>1791156.1699999948</v>
      </c>
      <c r="K19" s="50">
        <f>2141341.5+10303.9800000023</f>
        <v>2151645.4800000023</v>
      </c>
      <c r="L19" s="50">
        <f>2721008.96+2753.75999999791</f>
        <v>2723762.7199999979</v>
      </c>
      <c r="M19" s="50">
        <f>2366405.39+75346.159999989</f>
        <v>2441751.5499999891</v>
      </c>
      <c r="N19" s="50">
        <v>2447444.9800000014</v>
      </c>
      <c r="P19" s="51"/>
      <c r="Q19" s="51"/>
      <c r="R19" s="51" t="s">
        <v>23</v>
      </c>
      <c r="S19" s="99">
        <v>20588071.739999991</v>
      </c>
      <c r="T19" s="99">
        <f t="shared" si="1"/>
        <v>0</v>
      </c>
      <c r="U19" s="99">
        <v>75346.159999989002</v>
      </c>
    </row>
    <row r="20" spans="1:21" x14ac:dyDescent="0.2">
      <c r="A20" s="52"/>
      <c r="B20" s="49"/>
      <c r="C20" s="52"/>
      <c r="D20" s="52" t="s">
        <v>24</v>
      </c>
      <c r="E20" s="65">
        <f t="shared" si="0"/>
        <v>799115.48</v>
      </c>
      <c r="F20" s="50">
        <v>6534.65</v>
      </c>
      <c r="G20" s="50">
        <v>38103.199999999997</v>
      </c>
      <c r="H20" s="50">
        <v>115769.70000000001</v>
      </c>
      <c r="I20" s="50">
        <v>102312.44</v>
      </c>
      <c r="J20" s="50">
        <v>122293.98000000001</v>
      </c>
      <c r="K20" s="50">
        <v>99612.91</v>
      </c>
      <c r="L20" s="50">
        <v>60079.009999999995</v>
      </c>
      <c r="M20" s="50">
        <v>151061.89000000001</v>
      </c>
      <c r="N20" s="50">
        <v>103347.70000000001</v>
      </c>
      <c r="P20" s="51"/>
      <c r="Q20" s="51"/>
      <c r="R20" s="51" t="s">
        <v>24</v>
      </c>
      <c r="S20" s="99">
        <v>799115.48000000021</v>
      </c>
      <c r="T20" s="99">
        <f t="shared" si="1"/>
        <v>0</v>
      </c>
      <c r="U20" s="99">
        <v>0</v>
      </c>
    </row>
    <row r="21" spans="1:21" x14ac:dyDescent="0.2">
      <c r="A21" s="52"/>
      <c r="B21" s="49"/>
      <c r="C21" s="52"/>
      <c r="D21" s="52" t="s">
        <v>31</v>
      </c>
      <c r="E21" s="65">
        <f t="shared" si="0"/>
        <v>681082.53999999911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f>96690.9-9478.5</f>
        <v>87212.4</v>
      </c>
      <c r="L21" s="50">
        <f>1672.4-625.900000000139</f>
        <v>1046.4999999998611</v>
      </c>
      <c r="M21" s="50">
        <f>654279.78-62532.6400000007</f>
        <v>591747.13999999932</v>
      </c>
      <c r="N21" s="50">
        <v>1076.5</v>
      </c>
      <c r="P21" s="51"/>
      <c r="Q21" s="51"/>
      <c r="R21" s="51" t="s">
        <v>31</v>
      </c>
      <c r="S21" s="99">
        <v>681082.53999999922</v>
      </c>
      <c r="T21" s="99">
        <f t="shared" si="1"/>
        <v>0</v>
      </c>
      <c r="U21" s="99">
        <v>-62532.640000000698</v>
      </c>
    </row>
    <row r="22" spans="1:21" x14ac:dyDescent="0.2">
      <c r="A22" s="52"/>
      <c r="B22" s="49"/>
      <c r="C22" s="52"/>
      <c r="D22" s="52" t="s">
        <v>33</v>
      </c>
      <c r="E22" s="65">
        <f t="shared" si="0"/>
        <v>4588.75</v>
      </c>
      <c r="F22" s="50">
        <v>0</v>
      </c>
      <c r="G22" s="50">
        <v>0</v>
      </c>
      <c r="H22" s="50">
        <v>0</v>
      </c>
      <c r="I22" s="50">
        <v>420</v>
      </c>
      <c r="J22" s="50">
        <v>2543.75</v>
      </c>
      <c r="K22" s="50">
        <v>0</v>
      </c>
      <c r="L22" s="50">
        <v>0</v>
      </c>
      <c r="M22" s="50">
        <v>1625</v>
      </c>
      <c r="N22" s="50">
        <v>0</v>
      </c>
      <c r="P22" s="51"/>
      <c r="Q22" s="51"/>
      <c r="R22" s="51" t="s">
        <v>33</v>
      </c>
      <c r="S22" s="99">
        <v>4588.75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26</v>
      </c>
      <c r="E23" s="65">
        <f t="shared" si="0"/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P23" s="51"/>
      <c r="Q23" s="51"/>
      <c r="R23" s="51" t="s">
        <v>26</v>
      </c>
      <c r="S23" s="99">
        <v>0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25</v>
      </c>
      <c r="E24" s="65">
        <f t="shared" si="0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P24" s="51"/>
      <c r="Q24" s="51"/>
      <c r="R24" s="51" t="s">
        <v>25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60</v>
      </c>
      <c r="E25" s="71">
        <f>SUM(E9:E24)</f>
        <v>866176752.28000152</v>
      </c>
      <c r="F25" s="72">
        <f t="shared" ref="F25:Q25" si="2">SUM(F9:F24)</f>
        <v>26210013.069999952</v>
      </c>
      <c r="G25" s="72">
        <f t="shared" si="2"/>
        <v>41516274.959999844</v>
      </c>
      <c r="H25" s="72">
        <f t="shared" si="2"/>
        <v>106138015.66999985</v>
      </c>
      <c r="I25" s="72">
        <f t="shared" si="2"/>
        <v>129626681.96000127</v>
      </c>
      <c r="J25" s="72">
        <f t="shared" si="2"/>
        <v>109452845.67000102</v>
      </c>
      <c r="K25" s="72">
        <f t="shared" si="2"/>
        <v>111191917.34999824</v>
      </c>
      <c r="L25" s="72">
        <f t="shared" si="2"/>
        <v>106363956.16000237</v>
      </c>
      <c r="M25" s="72">
        <f t="shared" si="2"/>
        <v>124784680.79999778</v>
      </c>
      <c r="N25" s="72">
        <f t="shared" si="2"/>
        <v>110892366.64000122</v>
      </c>
      <c r="O25" s="72">
        <f t="shared" si="2"/>
        <v>0</v>
      </c>
      <c r="P25" s="72">
        <f t="shared" si="2"/>
        <v>0</v>
      </c>
      <c r="Q25" s="72">
        <f t="shared" si="2"/>
        <v>0</v>
      </c>
      <c r="S25" s="127">
        <v>0</v>
      </c>
      <c r="T25" s="127">
        <f t="shared" ref="T25:U25" si="3">SUM(T9:T24)</f>
        <v>6.1094760894775391E-7</v>
      </c>
      <c r="U25" s="127">
        <f t="shared" si="3"/>
        <v>365888.93999670423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$866,176,752</v>
      </c>
      <c r="C29" s="162"/>
      <c r="D29" s="162"/>
      <c r="E29" s="162"/>
      <c r="F29" s="162"/>
      <c r="G29" s="73"/>
      <c r="H29" s="131" t="s">
        <v>82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61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62</v>
      </c>
      <c r="C39" s="79" t="s">
        <v>63</v>
      </c>
      <c r="D39" s="80" t="s">
        <v>64</v>
      </c>
      <c r="E39" s="81" t="s">
        <v>45</v>
      </c>
      <c r="F39" s="82" t="s">
        <v>46</v>
      </c>
      <c r="G39" s="82" t="s">
        <v>47</v>
      </c>
      <c r="H39" s="82" t="s">
        <v>48</v>
      </c>
      <c r="I39" s="82" t="s">
        <v>49</v>
      </c>
      <c r="J39" s="82" t="s">
        <v>50</v>
      </c>
      <c r="K39" s="82" t="s">
        <v>51</v>
      </c>
      <c r="L39" s="82" t="s">
        <v>52</v>
      </c>
      <c r="M39" s="82" t="s">
        <v>53</v>
      </c>
      <c r="N39" s="82" t="s">
        <v>54</v>
      </c>
      <c r="O39" s="82" t="s">
        <v>55</v>
      </c>
      <c r="P39" s="83" t="s">
        <v>56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800420899.48000002</v>
      </c>
      <c r="C40" s="86">
        <f>SUM(E40:P40)</f>
        <v>771917063.4599998</v>
      </c>
      <c r="D40" s="87">
        <f>C40/B40</f>
        <v>0.96438894082036342</v>
      </c>
      <c r="E40" s="134">
        <v>283416.8200000003</v>
      </c>
      <c r="F40" s="134">
        <v>23622403.879999999</v>
      </c>
      <c r="G40" s="134">
        <v>232065648.81</v>
      </c>
      <c r="H40" s="134">
        <v>175157418.03</v>
      </c>
      <c r="I40" s="134">
        <f>252258921.69 -2408354.35000002</f>
        <v>249850567.33999997</v>
      </c>
      <c r="J40" s="134">
        <v>54090759.909999996</v>
      </c>
      <c r="K40" s="134">
        <v>15141582.530000001</v>
      </c>
      <c r="L40" s="134">
        <v>7855291.2700000005</v>
      </c>
      <c r="M40" s="134">
        <v>13849974.869999999</v>
      </c>
      <c r="N40" s="134"/>
      <c r="O40" s="134"/>
      <c r="P40" s="134"/>
      <c r="R40" s="141"/>
      <c r="S40" s="147">
        <v>771917063.46000016</v>
      </c>
      <c r="T40" s="133">
        <f>S40-C40</f>
        <v>0</v>
      </c>
      <c r="U40" s="133">
        <v>0</v>
      </c>
    </row>
    <row r="41" spans="1:21" s="84" customFormat="1" x14ac:dyDescent="0.2">
      <c r="A41" s="84" t="s">
        <v>9</v>
      </c>
      <c r="B41" s="88">
        <v>90000</v>
      </c>
      <c r="C41" s="89">
        <f>SUM(E41:P41)</f>
        <v>9364677.7799999993</v>
      </c>
      <c r="D41" s="90">
        <f>C41/B41</f>
        <v>104.05197533333333</v>
      </c>
      <c r="E41" s="135">
        <v>186624.72</v>
      </c>
      <c r="F41" s="135">
        <v>225298.27</v>
      </c>
      <c r="G41" s="135">
        <v>278710.13</v>
      </c>
      <c r="H41" s="135">
        <v>614426.56999999995</v>
      </c>
      <c r="I41" s="135">
        <f>446568.35 + 635413.3</f>
        <v>1081981.6499999999</v>
      </c>
      <c r="J41" s="135">
        <v>1560074.4</v>
      </c>
      <c r="K41" s="135">
        <v>1722581.35</v>
      </c>
      <c r="L41" s="135">
        <v>1798555.78</v>
      </c>
      <c r="M41" s="135">
        <v>1896424.91</v>
      </c>
      <c r="N41" s="135"/>
      <c r="O41" s="135"/>
      <c r="P41" s="135"/>
      <c r="R41" s="141"/>
      <c r="S41" s="147">
        <v>9364677.7799999993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503799794.62</v>
      </c>
      <c r="C42" s="89">
        <f>SUM(E42:P42)</f>
        <v>352876645.63</v>
      </c>
      <c r="D42" s="90">
        <f>C42/B42</f>
        <v>0.70043030862321709</v>
      </c>
      <c r="E42" s="135">
        <v>5367835.4800000004</v>
      </c>
      <c r="F42" s="135">
        <f>5752262.79+40986.0000000074</f>
        <v>5793248.7900000075</v>
      </c>
      <c r="G42" s="135">
        <v>48556637</v>
      </c>
      <c r="H42" s="135">
        <v>48732788</v>
      </c>
      <c r="I42" s="135">
        <f>48714026 -38067.0000000298</f>
        <v>48675958.99999997</v>
      </c>
      <c r="J42" s="135">
        <v>48675959</v>
      </c>
      <c r="K42" s="135">
        <v>48863713.230000004</v>
      </c>
      <c r="L42" s="135">
        <v>48691038.280000001</v>
      </c>
      <c r="M42" s="135">
        <v>49519466.850000001</v>
      </c>
      <c r="N42" s="135"/>
      <c r="O42" s="135"/>
      <c r="P42" s="135"/>
      <c r="R42" s="141"/>
      <c r="S42" s="147">
        <v>352876645.63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1448256</v>
      </c>
      <c r="C43" s="89">
        <f>SUM(E43:P43)</f>
        <v>9749.380000000001</v>
      </c>
      <c r="D43" s="92">
        <f>C43/B43</f>
        <v>6.7318070838304836E-3</v>
      </c>
      <c r="E43" s="136">
        <v>0</v>
      </c>
      <c r="F43" s="136">
        <v>9801</v>
      </c>
      <c r="G43" s="136">
        <v>0</v>
      </c>
      <c r="H43" s="136">
        <v>0</v>
      </c>
      <c r="I43" s="136">
        <v>0</v>
      </c>
      <c r="J43" s="136">
        <v>1091.3800000000001</v>
      </c>
      <c r="K43" s="136">
        <v>-1143</v>
      </c>
      <c r="L43" s="136">
        <v>0</v>
      </c>
      <c r="M43" s="136">
        <v>0</v>
      </c>
      <c r="N43" s="136"/>
      <c r="O43" s="136"/>
      <c r="P43" s="136"/>
      <c r="R43" s="142"/>
      <c r="S43" s="147">
        <v>9749.3799999999992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1305758950.0999999</v>
      </c>
      <c r="C44" s="95">
        <f>SUM(C40:C43)</f>
        <v>1134168136.25</v>
      </c>
      <c r="D44" s="96">
        <f>C44/B44</f>
        <v>0.86858921102025854</v>
      </c>
      <c r="E44" s="97">
        <f>SUM(E40:E43)</f>
        <v>5837877.0200000005</v>
      </c>
      <c r="F44" s="98">
        <f t="shared" ref="F44:P44" si="5">SUM(F40:F43)</f>
        <v>29650751.940000005</v>
      </c>
      <c r="G44" s="98">
        <f t="shared" si="5"/>
        <v>280900995.94</v>
      </c>
      <c r="H44" s="98">
        <f t="shared" si="5"/>
        <v>224504632.59999999</v>
      </c>
      <c r="I44" s="98">
        <f t="shared" si="5"/>
        <v>299608507.98999995</v>
      </c>
      <c r="J44" s="98">
        <f t="shared" si="5"/>
        <v>104327884.69</v>
      </c>
      <c r="K44" s="98">
        <f t="shared" si="5"/>
        <v>65726734.110000007</v>
      </c>
      <c r="L44" s="98">
        <f t="shared" si="5"/>
        <v>58344885.329999998</v>
      </c>
      <c r="M44" s="98">
        <f t="shared" si="5"/>
        <v>65265866.630000003</v>
      </c>
      <c r="N44" s="98">
        <f t="shared" si="5"/>
        <v>0</v>
      </c>
      <c r="O44" s="98">
        <f t="shared" si="5"/>
        <v>0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65</v>
      </c>
      <c r="B46" s="101">
        <f>+B40+B41+B43</f>
        <v>801959155.48000002</v>
      </c>
      <c r="C46" s="86">
        <f>+C40+C41+C43</f>
        <v>781291490.61999977</v>
      </c>
      <c r="D46" s="102">
        <f>C46/B46</f>
        <v>0.97422853181639912</v>
      </c>
      <c r="E46" s="103">
        <f>+E40+E41+E43</f>
        <v>470041.54000000027</v>
      </c>
      <c r="F46" s="103">
        <f t="shared" ref="F46:P46" si="6">+F40+F41+F43</f>
        <v>23857503.149999999</v>
      </c>
      <c r="G46" s="103">
        <f t="shared" si="6"/>
        <v>232344358.94</v>
      </c>
      <c r="H46" s="103">
        <f t="shared" si="6"/>
        <v>175771844.59999999</v>
      </c>
      <c r="I46" s="103">
        <f t="shared" si="6"/>
        <v>250932548.98999998</v>
      </c>
      <c r="J46" s="103">
        <f t="shared" si="6"/>
        <v>55651925.689999998</v>
      </c>
      <c r="K46" s="103">
        <f t="shared" si="6"/>
        <v>16863020.880000003</v>
      </c>
      <c r="L46" s="103">
        <f t="shared" si="6"/>
        <v>9653847.0500000007</v>
      </c>
      <c r="M46" s="103">
        <f t="shared" si="6"/>
        <v>15746399.779999999</v>
      </c>
      <c r="N46" s="103">
        <f t="shared" si="6"/>
        <v>0</v>
      </c>
      <c r="O46" s="103">
        <f t="shared" si="6"/>
        <v>0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66</v>
      </c>
      <c r="B47" s="104">
        <f>B42</f>
        <v>503799794.62</v>
      </c>
      <c r="C47" s="105">
        <f>C71</f>
        <v>352876645.63</v>
      </c>
      <c r="D47" s="106">
        <f>C47/B47</f>
        <v>0.70043030862321709</v>
      </c>
      <c r="E47" s="107">
        <f>E42</f>
        <v>5367835.4800000004</v>
      </c>
      <c r="F47" s="107">
        <f t="shared" ref="F47:P47" si="7">F42</f>
        <v>5793248.7900000075</v>
      </c>
      <c r="G47" s="107">
        <f t="shared" si="7"/>
        <v>48556637</v>
      </c>
      <c r="H47" s="107">
        <f t="shared" si="7"/>
        <v>48732788</v>
      </c>
      <c r="I47" s="107">
        <f t="shared" si="7"/>
        <v>48675958.99999997</v>
      </c>
      <c r="J47" s="107">
        <f t="shared" si="7"/>
        <v>48675959</v>
      </c>
      <c r="K47" s="107">
        <f t="shared" si="7"/>
        <v>48863713.230000004</v>
      </c>
      <c r="L47" s="107">
        <f t="shared" si="7"/>
        <v>48691038.280000001</v>
      </c>
      <c r="M47" s="107">
        <f t="shared" si="7"/>
        <v>49519466.850000001</v>
      </c>
      <c r="N47" s="107">
        <f t="shared" si="7"/>
        <v>0</v>
      </c>
      <c r="O47" s="107">
        <f t="shared" si="7"/>
        <v>0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1305758950.0999999</v>
      </c>
      <c r="C48" s="108">
        <f>SUM(E48:P48)</f>
        <v>1134168136.2500002</v>
      </c>
      <c r="D48" s="109">
        <f>C48/B48</f>
        <v>0.86858921102025866</v>
      </c>
      <c r="E48" s="110">
        <f>+E46+E47</f>
        <v>5837877.0200000005</v>
      </c>
      <c r="F48" s="111">
        <f t="shared" ref="F48:P48" si="8">+F46+F47</f>
        <v>29650751.940000005</v>
      </c>
      <c r="G48" s="111">
        <f t="shared" si="8"/>
        <v>280900995.94</v>
      </c>
      <c r="H48" s="111">
        <f t="shared" si="8"/>
        <v>224504632.59999999</v>
      </c>
      <c r="I48" s="111">
        <f t="shared" si="8"/>
        <v>299608507.98999995</v>
      </c>
      <c r="J48" s="111">
        <f t="shared" si="8"/>
        <v>104327884.69</v>
      </c>
      <c r="K48" s="111">
        <f t="shared" si="8"/>
        <v>65726734.110000007</v>
      </c>
      <c r="L48" s="111">
        <f t="shared" si="8"/>
        <v>58344885.329999998</v>
      </c>
      <c r="M48" s="111">
        <f t="shared" si="8"/>
        <v>65265866.630000003</v>
      </c>
      <c r="N48" s="111">
        <f t="shared" si="8"/>
        <v>0</v>
      </c>
      <c r="O48" s="111">
        <f t="shared" si="8"/>
        <v>0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67</v>
      </c>
      <c r="D50" s="156"/>
      <c r="E50" s="113" t="s">
        <v>45</v>
      </c>
      <c r="F50" s="114" t="s">
        <v>46</v>
      </c>
      <c r="G50" s="114" t="s">
        <v>47</v>
      </c>
      <c r="H50" s="114" t="s">
        <v>48</v>
      </c>
      <c r="I50" s="114" t="s">
        <v>49</v>
      </c>
      <c r="J50" s="114" t="s">
        <v>50</v>
      </c>
      <c r="K50" s="114" t="s">
        <v>51</v>
      </c>
      <c r="L50" s="114" t="s">
        <v>52</v>
      </c>
      <c r="M50" s="114" t="s">
        <v>53</v>
      </c>
      <c r="N50" s="114" t="s">
        <v>54</v>
      </c>
      <c r="O50" s="114" t="s">
        <v>55</v>
      </c>
      <c r="P50" s="54" t="s">
        <v>56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65</v>
      </c>
      <c r="D51" s="51"/>
      <c r="E51" s="50">
        <f>E46</f>
        <v>470041.54000000027</v>
      </c>
      <c r="F51" s="50">
        <f>E51+F46</f>
        <v>24327544.689999998</v>
      </c>
      <c r="G51" s="50">
        <f t="shared" ref="G51:P52" si="9">F51+G46</f>
        <v>256671903.63</v>
      </c>
      <c r="H51" s="50">
        <f t="shared" si="9"/>
        <v>432443748.23000002</v>
      </c>
      <c r="I51" s="50">
        <f t="shared" si="9"/>
        <v>683376297.22000003</v>
      </c>
      <c r="J51" s="50">
        <f t="shared" si="9"/>
        <v>739028222.91000009</v>
      </c>
      <c r="K51" s="50">
        <f t="shared" si="9"/>
        <v>755891243.79000008</v>
      </c>
      <c r="L51" s="50">
        <f t="shared" si="9"/>
        <v>765545090.84000003</v>
      </c>
      <c r="M51" s="50">
        <f t="shared" si="9"/>
        <v>781291490.62</v>
      </c>
      <c r="N51" s="50">
        <f t="shared" si="9"/>
        <v>781291490.62</v>
      </c>
      <c r="O51" s="50">
        <f t="shared" si="9"/>
        <v>781291490.62</v>
      </c>
      <c r="P51" s="50">
        <f t="shared" si="9"/>
        <v>781291490.62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66</v>
      </c>
      <c r="D52" s="51"/>
      <c r="E52" s="50">
        <f>E47</f>
        <v>5367835.4800000004</v>
      </c>
      <c r="F52" s="50">
        <f>E52+F47</f>
        <v>11161084.270000007</v>
      </c>
      <c r="G52" s="50">
        <f t="shared" si="9"/>
        <v>59717721.270000011</v>
      </c>
      <c r="H52" s="50">
        <f t="shared" si="9"/>
        <v>108450509.27000001</v>
      </c>
      <c r="I52" s="50">
        <f t="shared" si="9"/>
        <v>157126468.26999998</v>
      </c>
      <c r="J52" s="50">
        <f t="shared" si="9"/>
        <v>205802427.26999998</v>
      </c>
      <c r="K52" s="50">
        <f t="shared" si="9"/>
        <v>254666140.5</v>
      </c>
      <c r="L52" s="50">
        <f t="shared" si="9"/>
        <v>303357178.77999997</v>
      </c>
      <c r="M52" s="50">
        <f t="shared" si="9"/>
        <v>352876645.63</v>
      </c>
      <c r="N52" s="50">
        <f t="shared" si="9"/>
        <v>352876645.63</v>
      </c>
      <c r="O52" s="50">
        <f t="shared" si="9"/>
        <v>352876645.63</v>
      </c>
      <c r="P52" s="50">
        <f t="shared" si="9"/>
        <v>352876645.63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68</v>
      </c>
      <c r="D53" s="51"/>
      <c r="E53" s="117">
        <f>+E51+E52</f>
        <v>5837877.0200000005</v>
      </c>
      <c r="F53" s="117">
        <f t="shared" ref="F53:P53" si="10">+F51+F52</f>
        <v>35488628.960000008</v>
      </c>
      <c r="G53" s="117">
        <f t="shared" si="10"/>
        <v>316389624.89999998</v>
      </c>
      <c r="H53" s="117">
        <f t="shared" si="10"/>
        <v>540894257.5</v>
      </c>
      <c r="I53" s="117">
        <f t="shared" si="10"/>
        <v>840502765.49000001</v>
      </c>
      <c r="J53" s="117">
        <f t="shared" si="10"/>
        <v>944830650.18000007</v>
      </c>
      <c r="K53" s="117">
        <f t="shared" si="10"/>
        <v>1010557384.2900001</v>
      </c>
      <c r="L53" s="117">
        <f t="shared" si="10"/>
        <v>1068902269.62</v>
      </c>
      <c r="M53" s="117">
        <f t="shared" si="10"/>
        <v>1134168136.25</v>
      </c>
      <c r="N53" s="117">
        <f t="shared" si="10"/>
        <v>1134168136.25</v>
      </c>
      <c r="O53" s="117">
        <f t="shared" si="10"/>
        <v>1134168136.25</v>
      </c>
      <c r="P53" s="117">
        <f t="shared" si="10"/>
        <v>1134168136.25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$801,959,155  Actual: $781,291,491  97.42%
(STATE)  Budgeted: $503,799,795  Actual: $352,876,646   70.04%
TOTAL Budgeted: $1,305,758,950  Actual: $1,134,168,136   86.86%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83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$503,799,795	Actual: $352,876,646   70.04%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$1,305,758,950	Actual: $1,134,168,136   86.86%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36</v>
      </c>
      <c r="B60" s="122" t="s">
        <v>37</v>
      </c>
      <c r="P60" s="51"/>
      <c r="Q60" s="51"/>
      <c r="R60" s="51"/>
    </row>
    <row r="61" spans="1:21" s="99" customFormat="1" x14ac:dyDescent="0.2">
      <c r="A61" s="123" t="s">
        <v>8</v>
      </c>
      <c r="B61" s="124">
        <v>800420899.48000002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503799794.62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1448256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69</v>
      </c>
      <c r="B65" s="128">
        <f>SUM(B61:B64)</f>
        <v>1305758950.0999999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71</v>
      </c>
      <c r="C68" s="129" t="s">
        <v>70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800420899.48000002</v>
      </c>
      <c r="C69" s="50">
        <v>771917063.4599998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</v>
      </c>
      <c r="C70" s="50">
        <v>9364677.7799999993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503799794.62</v>
      </c>
      <c r="C71" s="50">
        <v>352876645.63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1448256</v>
      </c>
      <c r="C72" s="50">
        <v>9749.380000000001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73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45016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30993942.550000001</v>
      </c>
      <c r="C8" s="7">
        <v>31374726.550000001</v>
      </c>
      <c r="D8" s="7">
        <v>2010222.96</v>
      </c>
      <c r="E8" s="7">
        <v>23601687.210000008</v>
      </c>
      <c r="F8" s="7">
        <v>0</v>
      </c>
      <c r="G8" s="7">
        <f t="shared" ref="G8:G12" si="0">SUM(E8:F8)</f>
        <v>23601687.210000008</v>
      </c>
      <c r="H8" s="7">
        <f t="shared" ref="H8:H12" si="1">C8-G8</f>
        <v>7773039.3399999924</v>
      </c>
      <c r="I8" s="16">
        <f>IF(C8=0,"",H8/C8)</f>
        <v>0.24774843304570546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1125</v>
      </c>
      <c r="E9" s="7">
        <v>7092.37</v>
      </c>
      <c r="F9" s="7">
        <v>0</v>
      </c>
      <c r="G9" s="7">
        <f t="shared" si="0"/>
        <v>7092.37</v>
      </c>
      <c r="H9" s="7">
        <f t="shared" si="1"/>
        <v>-7092.37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15490840.710000001</v>
      </c>
      <c r="C10" s="7">
        <v>15250906.710000001</v>
      </c>
      <c r="D10" s="7">
        <v>2043027.14</v>
      </c>
      <c r="E10" s="7">
        <v>11707757.02</v>
      </c>
      <c r="F10" s="7">
        <v>0</v>
      </c>
      <c r="G10" s="7">
        <f t="shared" si="0"/>
        <v>11707757.02</v>
      </c>
      <c r="H10" s="7">
        <f t="shared" si="1"/>
        <v>3543149.6900000013</v>
      </c>
      <c r="I10" s="16">
        <f t="shared" si="2"/>
        <v>0.23232387145065692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30</v>
      </c>
      <c r="B11" s="7">
        <v>428232611.45999998</v>
      </c>
      <c r="C11" s="7">
        <v>615276189.41000021</v>
      </c>
      <c r="D11" s="7">
        <v>42805100.829999991</v>
      </c>
      <c r="E11" s="7">
        <v>134824698.31000003</v>
      </c>
      <c r="F11" s="7">
        <v>0</v>
      </c>
      <c r="G11" s="7">
        <f t="shared" si="0"/>
        <v>134824698.31000003</v>
      </c>
      <c r="H11" s="7">
        <f t="shared" si="1"/>
        <v>480451491.10000014</v>
      </c>
      <c r="I11" s="16">
        <f t="shared" si="2"/>
        <v>0.78087125646892663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4445423</v>
      </c>
      <c r="C12" s="7">
        <v>4446128</v>
      </c>
      <c r="D12" s="7">
        <v>94575.8</v>
      </c>
      <c r="E12" s="7">
        <v>450403.17</v>
      </c>
      <c r="F12" s="7">
        <v>0</v>
      </c>
      <c r="G12" s="7">
        <f t="shared" si="0"/>
        <v>450403.17</v>
      </c>
      <c r="H12" s="7">
        <f t="shared" si="1"/>
        <v>3995724.83</v>
      </c>
      <c r="I12" s="16">
        <f t="shared" si="2"/>
        <v>0.89869766007636309</v>
      </c>
      <c r="K12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479162817.71999997</v>
      </c>
      <c r="C13" s="11">
        <f t="shared" ref="C13:H13" si="3">SUM(C8:C12)</f>
        <v>666347950.6700002</v>
      </c>
      <c r="D13" s="11">
        <f t="shared" si="3"/>
        <v>46954051.729999989</v>
      </c>
      <c r="E13" s="11">
        <f t="shared" si="3"/>
        <v>170591638.08000001</v>
      </c>
      <c r="F13" s="11">
        <f t="shared" si="3"/>
        <v>0</v>
      </c>
      <c r="G13" s="11">
        <f t="shared" si="3"/>
        <v>170591638.08000001</v>
      </c>
      <c r="H13" s="11">
        <f t="shared" si="3"/>
        <v>495756312.59000009</v>
      </c>
      <c r="I13" s="36">
        <f>IF(C13=0,"",H13/C13)</f>
        <v>0.74399015122883849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122237672.85000002</v>
      </c>
      <c r="C14" s="13">
        <v>243710966.01000002</v>
      </c>
      <c r="D14" s="13">
        <v>4563711.7999999784</v>
      </c>
      <c r="E14" s="13">
        <v>37808794.600000069</v>
      </c>
      <c r="F14" s="13">
        <v>6066674.4900000021</v>
      </c>
      <c r="G14" s="13">
        <f t="shared" ref="G14:G31" si="4">SUM(E14:F14)</f>
        <v>43875469.090000071</v>
      </c>
      <c r="H14" s="13">
        <f t="shared" ref="H14:H31" si="5">C14-G14</f>
        <v>199835496.91999996</v>
      </c>
      <c r="I14" s="26">
        <f t="shared" ref="I14:I31" si="6">IF(C14=0,"",H14/C14)</f>
        <v>0.81996924550288908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46476820.240000002</v>
      </c>
      <c r="C15" s="7">
        <v>35429263.230000004</v>
      </c>
      <c r="D15" s="7">
        <v>2142204.5700000012</v>
      </c>
      <c r="E15" s="7">
        <v>14848426.109999996</v>
      </c>
      <c r="F15" s="7">
        <v>1432381.8800000004</v>
      </c>
      <c r="G15" s="7">
        <f t="shared" si="4"/>
        <v>16280807.989999996</v>
      </c>
      <c r="H15" s="7">
        <f t="shared" si="5"/>
        <v>19148455.24000001</v>
      </c>
      <c r="I15" s="16">
        <f t="shared" si="6"/>
        <v>0.54047003788060444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28698630.419999998</v>
      </c>
      <c r="C16" s="7">
        <v>4478848.120000002</v>
      </c>
      <c r="D16" s="7">
        <v>217145.67999999993</v>
      </c>
      <c r="E16" s="7">
        <v>2811181.9400000004</v>
      </c>
      <c r="F16" s="7">
        <v>225280.06999999998</v>
      </c>
      <c r="G16" s="7">
        <f t="shared" si="4"/>
        <v>3036462.0100000002</v>
      </c>
      <c r="H16" s="7">
        <f t="shared" si="5"/>
        <v>1442386.1100000017</v>
      </c>
      <c r="I16" s="16">
        <f t="shared" si="6"/>
        <v>0.32204398795286704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47270868.820000023</v>
      </c>
      <c r="C17" s="7">
        <v>52126624.720000006</v>
      </c>
      <c r="D17" s="7">
        <v>1869065.7600000042</v>
      </c>
      <c r="E17" s="7">
        <v>14532316.619999994</v>
      </c>
      <c r="F17" s="7">
        <v>394432.58999999997</v>
      </c>
      <c r="G17" s="7">
        <f t="shared" si="4"/>
        <v>14926749.209999993</v>
      </c>
      <c r="H17" s="7">
        <f t="shared" si="5"/>
        <v>37199875.510000013</v>
      </c>
      <c r="I17" s="16">
        <f t="shared" si="6"/>
        <v>0.71364443237636144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2893575</v>
      </c>
      <c r="C18" s="7">
        <v>6054372.8900000006</v>
      </c>
      <c r="D18" s="7">
        <v>6190.65</v>
      </c>
      <c r="E18" s="7">
        <v>34982.230000000003</v>
      </c>
      <c r="F18" s="7">
        <v>55378.45</v>
      </c>
      <c r="G18" s="7">
        <f t="shared" si="4"/>
        <v>90360.68</v>
      </c>
      <c r="H18" s="7">
        <f t="shared" si="5"/>
        <v>5964012.2100000009</v>
      </c>
      <c r="I18" s="16">
        <f t="shared" si="6"/>
        <v>0.98507513798014512</v>
      </c>
      <c r="L18" s="138"/>
      <c r="M18" s="138"/>
      <c r="N18" s="138"/>
      <c r="O18" s="138"/>
      <c r="P18" s="138"/>
    </row>
    <row r="19" spans="1:19" s="5" customFormat="1" x14ac:dyDescent="0.2">
      <c r="A19" s="6" t="s">
        <v>32</v>
      </c>
      <c r="B19" s="7">
        <v>-1313778.9399999997</v>
      </c>
      <c r="C19" s="7">
        <v>8679715.3300000001</v>
      </c>
      <c r="D19" s="7">
        <v>326324.1100000001</v>
      </c>
      <c r="E19" s="7">
        <v>3146945.6700000004</v>
      </c>
      <c r="F19" s="7">
        <v>25111.96</v>
      </c>
      <c r="G19" s="7">
        <f>SUM(E19:F19)</f>
        <v>3172057.6300000004</v>
      </c>
      <c r="H19" s="7">
        <f>C19-G19</f>
        <v>5507657.6999999993</v>
      </c>
      <c r="I19" s="16">
        <f>IF(C19=0,"",H19/C19)</f>
        <v>0.63454358704181135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52410582.199999996</v>
      </c>
      <c r="C20" s="7">
        <v>74975423.939999998</v>
      </c>
      <c r="D20" s="7">
        <v>103890.35</v>
      </c>
      <c r="E20" s="7">
        <v>963326.88000000012</v>
      </c>
      <c r="F20" s="7">
        <v>3880.64</v>
      </c>
      <c r="G20" s="7">
        <f t="shared" si="4"/>
        <v>967207.52000000014</v>
      </c>
      <c r="H20" s="7">
        <f t="shared" si="5"/>
        <v>74008216.420000002</v>
      </c>
      <c r="I20" s="16">
        <f t="shared" si="6"/>
        <v>0.98709967254371223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28031712.98</v>
      </c>
      <c r="C21" s="7">
        <v>3692972.27</v>
      </c>
      <c r="D21" s="7">
        <v>19682.850000000006</v>
      </c>
      <c r="E21" s="7">
        <v>224077.26</v>
      </c>
      <c r="F21" s="7">
        <v>0</v>
      </c>
      <c r="G21" s="7">
        <f t="shared" si="4"/>
        <v>224077.26</v>
      </c>
      <c r="H21" s="7">
        <f t="shared" si="5"/>
        <v>3468895.01</v>
      </c>
      <c r="I21" s="16">
        <f t="shared" si="6"/>
        <v>0.9393233299312046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26255441.91</v>
      </c>
      <c r="C22" s="7">
        <v>302796.91000000003</v>
      </c>
      <c r="D22" s="7">
        <v>6991.7</v>
      </c>
      <c r="E22" s="7">
        <v>235239.46000000002</v>
      </c>
      <c r="F22" s="7">
        <v>1024.4000000000001</v>
      </c>
      <c r="G22" s="7">
        <f t="shared" si="4"/>
        <v>236263.86000000002</v>
      </c>
      <c r="H22" s="7">
        <f t="shared" si="5"/>
        <v>66533.050000000017</v>
      </c>
      <c r="I22" s="16">
        <f t="shared" si="6"/>
        <v>0.21972829907676406</v>
      </c>
      <c r="L22" s="138"/>
      <c r="M22" s="138"/>
      <c r="N22" s="138"/>
      <c r="O22" s="138"/>
      <c r="P22" s="138"/>
    </row>
    <row r="23" spans="1:19" s="5" customFormat="1" x14ac:dyDescent="0.2">
      <c r="A23" s="6" t="s">
        <v>21</v>
      </c>
      <c r="B23" s="7">
        <v>75198741.920000002</v>
      </c>
      <c r="C23" s="7">
        <v>48876262.069999993</v>
      </c>
      <c r="D23" s="7">
        <v>113002.47</v>
      </c>
      <c r="E23" s="7">
        <v>2394285.9499999997</v>
      </c>
      <c r="F23" s="7">
        <v>1586000.6099999999</v>
      </c>
      <c r="G23" s="7">
        <f t="shared" si="4"/>
        <v>3980286.5599999996</v>
      </c>
      <c r="H23" s="7">
        <f t="shared" si="5"/>
        <v>44895975.50999999</v>
      </c>
      <c r="I23" s="16">
        <f t="shared" si="6"/>
        <v>0.91856401468877702</v>
      </c>
      <c r="L23" s="138"/>
      <c r="M23" s="138"/>
      <c r="N23" s="138"/>
      <c r="O23" s="138"/>
      <c r="P23" s="138"/>
    </row>
    <row r="24" spans="1:19" s="5" customFormat="1" x14ac:dyDescent="0.2">
      <c r="A24" s="6" t="s">
        <v>22</v>
      </c>
      <c r="B24" s="7">
        <v>27650785.010000002</v>
      </c>
      <c r="C24" s="7">
        <v>10365067.779999999</v>
      </c>
      <c r="D24" s="7">
        <v>6616.75</v>
      </c>
      <c r="E24" s="7">
        <v>334330.88</v>
      </c>
      <c r="F24" s="7">
        <v>10274.200000000001</v>
      </c>
      <c r="G24" s="7">
        <f t="shared" si="4"/>
        <v>344605.08</v>
      </c>
      <c r="H24" s="7">
        <f t="shared" si="5"/>
        <v>10020462.699999999</v>
      </c>
      <c r="I24" s="16">
        <f t="shared" si="6"/>
        <v>0.96675322464702684</v>
      </c>
      <c r="L24" s="138"/>
      <c r="M24" s="138"/>
      <c r="N24" s="138"/>
      <c r="O24" s="138"/>
      <c r="P24" s="138"/>
    </row>
    <row r="25" spans="1:19" s="5" customFormat="1" x14ac:dyDescent="0.2">
      <c r="A25" s="6" t="s">
        <v>23</v>
      </c>
      <c r="B25" s="7">
        <v>80846623.390000001</v>
      </c>
      <c r="C25" s="7">
        <v>4146217.08</v>
      </c>
      <c r="D25" s="7">
        <v>94319.4</v>
      </c>
      <c r="E25" s="7">
        <v>3922459.6599999997</v>
      </c>
      <c r="F25" s="7">
        <v>232096.06</v>
      </c>
      <c r="G25" s="7">
        <f t="shared" si="4"/>
        <v>4154555.7199999997</v>
      </c>
      <c r="H25" s="7">
        <f t="shared" si="5"/>
        <v>-8338.6399999996647</v>
      </c>
      <c r="I25" s="16">
        <f t="shared" si="6"/>
        <v>-2.0111440957162005E-3</v>
      </c>
      <c r="L25" s="138"/>
      <c r="M25" s="138"/>
      <c r="N25" s="138"/>
      <c r="O25" s="138"/>
      <c r="P25" s="138"/>
    </row>
    <row r="26" spans="1:19" s="5" customFormat="1" x14ac:dyDescent="0.2">
      <c r="A26" s="6" t="s">
        <v>24</v>
      </c>
      <c r="B26" s="7">
        <v>667088.79999999993</v>
      </c>
      <c r="C26" s="7">
        <v>2279440</v>
      </c>
      <c r="D26" s="7">
        <v>14212.37</v>
      </c>
      <c r="E26" s="7">
        <v>141975.48000000001</v>
      </c>
      <c r="F26" s="7">
        <v>2955</v>
      </c>
      <c r="G26" s="7">
        <f t="shared" si="4"/>
        <v>144930.48000000001</v>
      </c>
      <c r="H26" s="7">
        <f t="shared" si="5"/>
        <v>2134509.52</v>
      </c>
      <c r="I26" s="16">
        <f t="shared" si="6"/>
        <v>0.93641838346260486</v>
      </c>
      <c r="L26" s="138"/>
      <c r="M26" s="138"/>
      <c r="N26" s="138"/>
      <c r="O26" s="138"/>
      <c r="P26" s="138"/>
    </row>
    <row r="27" spans="1:19" s="5" customFormat="1" x14ac:dyDescent="0.2">
      <c r="A27" s="6" t="s">
        <v>31</v>
      </c>
      <c r="B27" s="7">
        <v>53747141</v>
      </c>
      <c r="C27" s="7">
        <v>22075910.07</v>
      </c>
      <c r="D27" s="7">
        <v>0</v>
      </c>
      <c r="E27" s="7">
        <v>2102330.6599999997</v>
      </c>
      <c r="F27" s="7">
        <v>0</v>
      </c>
      <c r="G27" s="7">
        <f t="shared" si="4"/>
        <v>2102330.6599999997</v>
      </c>
      <c r="H27" s="7">
        <f t="shared" si="5"/>
        <v>19973579.41</v>
      </c>
      <c r="I27" s="16">
        <f t="shared" si="6"/>
        <v>0.90476810906849281</v>
      </c>
      <c r="L27" s="138"/>
      <c r="M27" s="138"/>
      <c r="N27" s="138"/>
      <c r="O27" s="138"/>
      <c r="P27" s="138"/>
    </row>
    <row r="28" spans="1:19" s="5" customFormat="1" x14ac:dyDescent="0.2">
      <c r="A28" s="6" t="s">
        <v>33</v>
      </c>
      <c r="B28" s="7">
        <v>2025395.28</v>
      </c>
      <c r="C28" s="7">
        <v>2083395.28</v>
      </c>
      <c r="D28" s="7">
        <v>415197.25000000006</v>
      </c>
      <c r="E28" s="7">
        <v>2279608.48</v>
      </c>
      <c r="F28" s="7">
        <v>152668.59</v>
      </c>
      <c r="G28" s="7">
        <f t="shared" si="4"/>
        <v>2432277.0699999998</v>
      </c>
      <c r="H28" s="7">
        <f t="shared" si="5"/>
        <v>-348881.7899999998</v>
      </c>
      <c r="I28" s="16">
        <f t="shared" si="6"/>
        <v>-0.16745827992852119</v>
      </c>
      <c r="L28" s="138"/>
      <c r="M28" s="138"/>
      <c r="N28" s="138"/>
      <c r="O28" s="138"/>
      <c r="P28" s="138"/>
    </row>
    <row r="29" spans="1:19" s="5" customFormat="1" x14ac:dyDescent="0.2">
      <c r="A29" s="29" t="s">
        <v>39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</row>
    <row r="30" spans="1:19" s="5" customFormat="1" x14ac:dyDescent="0.2">
      <c r="A30" s="29" t="s">
        <v>34</v>
      </c>
      <c r="B30" s="7">
        <v>158786775.39999998</v>
      </c>
      <c r="C30" s="7">
        <v>127200000.00000001</v>
      </c>
      <c r="D30" s="7">
        <v>2163103.25</v>
      </c>
      <c r="E30" s="7">
        <v>3530968.0999999992</v>
      </c>
      <c r="F30" s="7">
        <v>21708485.899999999</v>
      </c>
      <c r="G30" s="7">
        <f t="shared" ref="G30" si="10">SUM(E30:F30)</f>
        <v>25239453.999999996</v>
      </c>
      <c r="H30" s="7">
        <f t="shared" ref="H30" si="11">C30-G30</f>
        <v>101960546.00000001</v>
      </c>
      <c r="I30" s="16">
        <f t="shared" ref="I30" si="12">IF(C30=0,"",H30/C30)</f>
        <v>0.80157661949685532</v>
      </c>
      <c r="L30" s="138"/>
      <c r="M30" s="138"/>
      <c r="N30" s="138"/>
      <c r="O30" s="138"/>
      <c r="P30" s="138"/>
    </row>
    <row r="31" spans="1:19" s="5" customFormat="1" x14ac:dyDescent="0.2">
      <c r="A31" s="6" t="s">
        <v>26</v>
      </c>
      <c r="B31" s="7">
        <v>23086645.009999998</v>
      </c>
      <c r="C31" s="7">
        <v>23086645.009999998</v>
      </c>
      <c r="D31" s="7">
        <v>1853927.8900000001</v>
      </c>
      <c r="E31" s="7">
        <v>16012271.41</v>
      </c>
      <c r="F31" s="7">
        <v>0</v>
      </c>
      <c r="G31" s="7">
        <f t="shared" si="4"/>
        <v>16012271.41</v>
      </c>
      <c r="H31" s="7">
        <f t="shared" si="5"/>
        <v>7074373.5999999978</v>
      </c>
      <c r="I31" s="16">
        <f t="shared" si="6"/>
        <v>0.30642709657188072</v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27</v>
      </c>
      <c r="B32" s="11">
        <f t="shared" ref="B32:H32" si="13">SUM(B14:B31)</f>
        <v>774970721.28999996</v>
      </c>
      <c r="C32" s="11">
        <f t="shared" si="13"/>
        <v>669563920.70999992</v>
      </c>
      <c r="D32" s="11">
        <f t="shared" si="13"/>
        <v>13915586.849999983</v>
      </c>
      <c r="E32" s="11">
        <f t="shared" si="13"/>
        <v>105323521.39000005</v>
      </c>
      <c r="F32" s="11">
        <f t="shared" si="13"/>
        <v>31896644.840000004</v>
      </c>
      <c r="G32" s="11">
        <f t="shared" si="13"/>
        <v>137220166.23000005</v>
      </c>
      <c r="H32" s="11">
        <f t="shared" si="13"/>
        <v>532343754.48000002</v>
      </c>
      <c r="I32" s="36">
        <f>IF(C32=0,"",H32/C32)</f>
        <v>0.79506039380901405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28</v>
      </c>
      <c r="B34" s="7">
        <f>B13-B32</f>
        <v>-295807903.56999999</v>
      </c>
      <c r="C34" s="7">
        <f>C13-C32</f>
        <v>-3215970.0399997234</v>
      </c>
      <c r="D34" s="7">
        <f>D13-D32</f>
        <v>33038464.880000006</v>
      </c>
      <c r="E34" s="7">
        <f>E13-E32</f>
        <v>65268116.689999968</v>
      </c>
      <c r="F34" s="7"/>
      <c r="G34" s="7">
        <f>G13-G32</f>
        <v>33371471.849999964</v>
      </c>
      <c r="H34" s="7">
        <f>H13-H32</f>
        <v>-36587441.889999926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78</v>
      </c>
      <c r="B36" s="20"/>
      <c r="C36" s="20"/>
      <c r="D36" s="20"/>
      <c r="E36" s="20">
        <v>562660.17000000156</v>
      </c>
      <c r="F36" s="20"/>
      <c r="G36" s="20">
        <f>E36</f>
        <v>562660.17000000156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29</v>
      </c>
      <c r="B37" s="24"/>
      <c r="C37" s="24"/>
      <c r="D37" s="24"/>
      <c r="E37" s="24">
        <f>SUM(E34:E36)</f>
        <v>65830776.85999997</v>
      </c>
      <c r="F37" s="24"/>
      <c r="G37" s="24">
        <f>SUM(G34:G36)</f>
        <v>33934132.019999966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37"/>
      <c r="H40" s="137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37"/>
      <c r="H41" s="137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"/>
      <c r="H44" s="1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74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45016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35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5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6">
        <f t="shared" si="2"/>
        <v>0.33749421332416785</v>
      </c>
    </row>
    <row r="11" spans="1:9" s="5" customFormat="1" x14ac:dyDescent="0.2">
      <c r="A11" s="27" t="s">
        <v>26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25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8">
        <f t="shared" ref="I12" si="6">IF(C12=0,"NA",H12/C12)</f>
        <v>0.33749421332416785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6">
        <f t="shared" ref="I13" si="10">IF(C13=0,"NA",H13/C13)</f>
        <v>0.33749421332416785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78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29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29.710937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0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0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0" x14ac:dyDescent="0.25">
      <c r="A4" s="153">
        <v>45016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0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0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0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J7" s="43"/>
      <c r="L7" s="138"/>
      <c r="M7" s="138"/>
      <c r="N7" s="138"/>
      <c r="O7" s="138"/>
      <c r="P7" s="138"/>
    </row>
    <row r="8" spans="1:20" s="5" customFormat="1" x14ac:dyDescent="0.2">
      <c r="A8" s="6" t="s">
        <v>8</v>
      </c>
      <c r="B8" s="7">
        <v>428990000</v>
      </c>
      <c r="C8" s="7">
        <v>429021000</v>
      </c>
      <c r="D8" s="7">
        <v>11531824.960000001</v>
      </c>
      <c r="E8" s="7">
        <v>101396642.97</v>
      </c>
      <c r="F8" s="7">
        <v>0</v>
      </c>
      <c r="G8" s="7">
        <f t="shared" ref="G8:G20" si="0">SUM(E8:F8)</f>
        <v>101396642.97</v>
      </c>
      <c r="H8" s="7">
        <f t="shared" ref="H8:H11" si="1">C8-G8</f>
        <v>327624357.02999997</v>
      </c>
      <c r="I8" s="35">
        <f>IF(C8=0,"NA",H8/C8)</f>
        <v>0.76365575817966946</v>
      </c>
      <c r="J8" s="44"/>
      <c r="K8"/>
      <c r="L8" s="139"/>
      <c r="M8" s="139"/>
      <c r="N8" s="139"/>
      <c r="O8" s="139"/>
      <c r="P8" s="139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610746.99</v>
      </c>
      <c r="E9" s="7">
        <v>2686307.95</v>
      </c>
      <c r="F9" s="7">
        <v>0</v>
      </c>
      <c r="G9" s="7">
        <f t="shared" si="0"/>
        <v>2686307.95</v>
      </c>
      <c r="H9" s="7">
        <f t="shared" si="1"/>
        <v>113692.04999999981</v>
      </c>
      <c r="I9" s="35">
        <f t="shared" ref="I9:I21" si="2">IF(C9=0,"NA",H9/C9)</f>
        <v>4.0604303571428503E-2</v>
      </c>
      <c r="J9" s="44"/>
      <c r="K9"/>
      <c r="L9" s="139"/>
      <c r="M9" s="139"/>
      <c r="N9" s="139"/>
      <c r="O9" s="139"/>
      <c r="P9" s="139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453526.6</v>
      </c>
      <c r="E10" s="7">
        <v>544810.6</v>
      </c>
      <c r="F10" s="7">
        <v>0</v>
      </c>
      <c r="G10" s="7">
        <f t="shared" si="0"/>
        <v>544810.6</v>
      </c>
      <c r="H10" s="7">
        <f t="shared" si="1"/>
        <v>-544810.6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-507564.9</v>
      </c>
      <c r="E11" s="7">
        <v>-507564.9</v>
      </c>
      <c r="F11" s="7">
        <v>0</v>
      </c>
      <c r="G11" s="7">
        <f t="shared" si="0"/>
        <v>-507564.9</v>
      </c>
      <c r="H11" s="7">
        <f t="shared" si="1"/>
        <v>507564.9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20" s="5" customFormat="1" ht="24.95" customHeight="1" x14ac:dyDescent="0.25">
      <c r="A12" s="10" t="s">
        <v>12</v>
      </c>
      <c r="B12" s="11">
        <f>SUM(B8:B11)</f>
        <v>431790000</v>
      </c>
      <c r="C12" s="11">
        <f t="shared" ref="C12:F12" si="3">SUM(C8:C11)</f>
        <v>431821000</v>
      </c>
      <c r="D12" s="11">
        <f t="shared" si="3"/>
        <v>12088533.65</v>
      </c>
      <c r="E12" s="11">
        <f t="shared" si="3"/>
        <v>104120196.61999999</v>
      </c>
      <c r="F12" s="11">
        <f t="shared" si="3"/>
        <v>0</v>
      </c>
      <c r="G12" s="11">
        <f t="shared" ref="G12:H12" si="4">SUM(G8:G11)</f>
        <v>104120196.61999999</v>
      </c>
      <c r="H12" s="11">
        <f t="shared" si="4"/>
        <v>327700803.37999994</v>
      </c>
      <c r="I12" s="36">
        <f t="shared" si="2"/>
        <v>0.75888111828743843</v>
      </c>
      <c r="L12" s="1"/>
      <c r="M12" s="1"/>
      <c r="N12" s="1"/>
      <c r="O12" s="1"/>
      <c r="P12" s="1"/>
      <c r="Q12" s="1"/>
      <c r="R12" s="1"/>
      <c r="S12" s="1"/>
    </row>
    <row r="13" spans="1:20" s="5" customFormat="1" x14ac:dyDescent="0.2">
      <c r="A13" s="12" t="s">
        <v>13</v>
      </c>
      <c r="B13" s="13">
        <v>5000</v>
      </c>
      <c r="C13" s="13">
        <v>5500</v>
      </c>
      <c r="D13" s="13">
        <v>148575.22999999998</v>
      </c>
      <c r="E13" s="13">
        <v>1670350.19</v>
      </c>
      <c r="F13" s="13">
        <v>1941298.69</v>
      </c>
      <c r="G13" s="7">
        <f t="shared" si="0"/>
        <v>3611648.88</v>
      </c>
      <c r="H13" s="7">
        <f t="shared" ref="H13" si="5">C13-G13</f>
        <v>-3606148.88</v>
      </c>
      <c r="I13" s="39">
        <f t="shared" si="2"/>
        <v>-655.66343272727272</v>
      </c>
      <c r="J13" s="44"/>
      <c r="L13" s="138"/>
      <c r="M13" s="138"/>
      <c r="N13" s="138"/>
      <c r="O13" s="138"/>
      <c r="P13" s="138"/>
    </row>
    <row r="14" spans="1:20" s="5" customFormat="1" x14ac:dyDescent="0.25">
      <c r="A14" s="6" t="s">
        <v>14</v>
      </c>
      <c r="B14" s="7">
        <v>0</v>
      </c>
      <c r="C14" s="7">
        <v>10500</v>
      </c>
      <c r="D14" s="7">
        <v>194.1</v>
      </c>
      <c r="E14" s="7">
        <v>2110.46</v>
      </c>
      <c r="F14" s="7">
        <v>0</v>
      </c>
      <c r="G14" s="7">
        <f t="shared" ref="G14" si="6">SUM(E14:F14)</f>
        <v>2110.46</v>
      </c>
      <c r="H14" s="7">
        <f t="shared" ref="H14" si="7">C14-G14</f>
        <v>8389.5400000000009</v>
      </c>
      <c r="I14" s="39">
        <f t="shared" ref="I14" si="8">IF(C14=0,"NA",H14/C14)</f>
        <v>0.79900380952380956</v>
      </c>
      <c r="J14" s="44"/>
      <c r="K14" s="1"/>
      <c r="L14" s="137"/>
      <c r="M14" s="137"/>
      <c r="N14" s="137"/>
      <c r="O14" s="137"/>
      <c r="P14" s="137"/>
      <c r="Q14" s="1"/>
      <c r="R14" s="1"/>
      <c r="S14" s="1"/>
    </row>
    <row r="15" spans="1:20" s="5" customFormat="1" x14ac:dyDescent="0.25">
      <c r="A15" s="6" t="s">
        <v>21</v>
      </c>
      <c r="B15" s="7">
        <v>10045882.43</v>
      </c>
      <c r="C15" s="7">
        <v>11202279.060000001</v>
      </c>
      <c r="D15" s="7">
        <v>50147.5</v>
      </c>
      <c r="E15" s="7">
        <v>1240501.6000000008</v>
      </c>
      <c r="F15" s="7">
        <v>123786.56999999996</v>
      </c>
      <c r="G15" s="7">
        <f t="shared" si="0"/>
        <v>1364288.1700000009</v>
      </c>
      <c r="H15" s="7">
        <f t="shared" ref="H15" si="9">C15-G15</f>
        <v>9837990.8900000006</v>
      </c>
      <c r="I15" s="39">
        <f t="shared" ref="I15" si="10">IF(C15=0,"NA",H15/C15)</f>
        <v>0.87821333831331994</v>
      </c>
      <c r="J15" s="44"/>
      <c r="K15" s="137"/>
      <c r="L15" s="137"/>
      <c r="M15" s="137"/>
      <c r="N15" s="137"/>
      <c r="O15" s="1"/>
      <c r="P15" s="1"/>
      <c r="Q15" s="1"/>
      <c r="R15" s="1"/>
      <c r="S15" s="1"/>
      <c r="T15" s="1"/>
    </row>
    <row r="16" spans="1:20" s="5" customFormat="1" x14ac:dyDescent="0.25">
      <c r="A16" s="6" t="s">
        <v>22</v>
      </c>
      <c r="B16" s="7">
        <v>1000000</v>
      </c>
      <c r="C16" s="7">
        <v>1000000</v>
      </c>
      <c r="D16" s="7">
        <v>1127.3</v>
      </c>
      <c r="E16" s="7">
        <v>738827.3</v>
      </c>
      <c r="F16" s="7">
        <v>36000</v>
      </c>
      <c r="G16" s="7">
        <f t="shared" si="0"/>
        <v>774827.3</v>
      </c>
      <c r="H16" s="7">
        <f t="shared" ref="H16" si="11">C16-G16</f>
        <v>225172.69999999995</v>
      </c>
      <c r="I16" s="39">
        <f t="shared" ref="I16" si="12">IF(C16=0,"NA",H16/C16)</f>
        <v>0.22517269999999995</v>
      </c>
      <c r="J16" s="44"/>
      <c r="K16" s="137"/>
      <c r="L16" s="137"/>
      <c r="M16" s="137"/>
      <c r="N16" s="137"/>
      <c r="O16" s="1"/>
      <c r="P16" s="1"/>
      <c r="Q16" s="1"/>
      <c r="R16" s="1"/>
      <c r="S16" s="1"/>
      <c r="T16" s="1"/>
    </row>
    <row r="17" spans="1:21" s="5" customFormat="1" x14ac:dyDescent="0.25">
      <c r="A17" s="6" t="s">
        <v>23</v>
      </c>
      <c r="B17" s="7">
        <v>18000000</v>
      </c>
      <c r="C17" s="7">
        <v>18000000</v>
      </c>
      <c r="D17" s="7">
        <v>0</v>
      </c>
      <c r="E17" s="7">
        <v>0</v>
      </c>
      <c r="F17" s="7">
        <v>0</v>
      </c>
      <c r="G17" s="7"/>
      <c r="H17" s="7"/>
      <c r="I17" s="39"/>
      <c r="J17" s="44"/>
      <c r="L17" s="1"/>
      <c r="M17" s="1"/>
      <c r="N17" s="1"/>
      <c r="O17" s="1"/>
      <c r="P17" s="1"/>
      <c r="Q17" s="1"/>
      <c r="R17" s="1"/>
      <c r="S17" s="1"/>
    </row>
    <row r="18" spans="1:21" s="5" customFormat="1" x14ac:dyDescent="0.25">
      <c r="A18" s="6" t="s">
        <v>34</v>
      </c>
      <c r="B18" s="7">
        <v>729323049.63999987</v>
      </c>
      <c r="C18" s="7">
        <v>453723966.15999991</v>
      </c>
      <c r="D18" s="7">
        <v>2013617.71</v>
      </c>
      <c r="E18" s="7">
        <v>20429869.500000004</v>
      </c>
      <c r="F18" s="7">
        <v>44287004.81000001</v>
      </c>
      <c r="G18" s="7">
        <f t="shared" si="0"/>
        <v>64716874.310000017</v>
      </c>
      <c r="H18" s="7">
        <f>C18-G18</f>
        <v>389007091.8499999</v>
      </c>
      <c r="I18" s="39">
        <f t="shared" si="2"/>
        <v>0.85736509610079004</v>
      </c>
      <c r="J18" s="44"/>
      <c r="K18" s="1"/>
      <c r="L18" s="137"/>
      <c r="M18" s="137"/>
      <c r="N18" s="137"/>
      <c r="O18" s="137"/>
      <c r="P18" s="137"/>
      <c r="Q18" s="1"/>
      <c r="R18" s="1"/>
      <c r="S18" s="1"/>
      <c r="T18" s="1"/>
    </row>
    <row r="19" spans="1:21" s="5" customFormat="1" x14ac:dyDescent="0.25">
      <c r="A19" s="6" t="s">
        <v>26</v>
      </c>
      <c r="B19" s="7">
        <v>83403442</v>
      </c>
      <c r="C19" s="7">
        <v>83403442</v>
      </c>
      <c r="D19" s="7">
        <v>0</v>
      </c>
      <c r="E19" s="7">
        <v>19859400</v>
      </c>
      <c r="F19" s="7">
        <v>0</v>
      </c>
      <c r="G19" s="7">
        <f t="shared" si="0"/>
        <v>19859400</v>
      </c>
      <c r="H19" s="7">
        <f>C19-G19</f>
        <v>63544042</v>
      </c>
      <c r="I19" s="39">
        <f t="shared" si="2"/>
        <v>0.76188752497768619</v>
      </c>
      <c r="J19" s="45"/>
      <c r="K19" s="1"/>
      <c r="L19" s="137"/>
      <c r="M19" s="137"/>
      <c r="N19" s="137"/>
      <c r="O19" s="137"/>
      <c r="P19" s="137"/>
      <c r="Q19" s="1"/>
      <c r="R19" s="1"/>
      <c r="S19" s="1"/>
      <c r="T19" s="1"/>
      <c r="U19" s="1"/>
    </row>
    <row r="20" spans="1:21" s="5" customFormat="1" x14ac:dyDescent="0.25">
      <c r="A20" s="6" t="s">
        <v>25</v>
      </c>
      <c r="B20" s="7">
        <v>5572080</v>
      </c>
      <c r="C20" s="7">
        <v>5572080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>C20-G20</f>
        <v>5572080</v>
      </c>
      <c r="I20" s="39">
        <f t="shared" si="2"/>
        <v>1</v>
      </c>
      <c r="J20" s="44"/>
      <c r="K20" s="1"/>
      <c r="L20" s="137"/>
      <c r="M20" s="137"/>
      <c r="N20" s="137"/>
      <c r="O20" s="137"/>
      <c r="P20" s="137"/>
      <c r="Q20" s="1"/>
      <c r="R20" s="1"/>
      <c r="S20" s="1"/>
      <c r="T20" s="1"/>
      <c r="U20" s="1"/>
    </row>
    <row r="21" spans="1:21" s="5" customFormat="1" ht="24.95" customHeight="1" x14ac:dyDescent="0.25">
      <c r="A21" s="10" t="s">
        <v>27</v>
      </c>
      <c r="B21" s="11">
        <f>SUM(B13:B20)</f>
        <v>847349454.06999981</v>
      </c>
      <c r="C21" s="11">
        <f>SUM(C13:C20)</f>
        <v>572917767.21999991</v>
      </c>
      <c r="D21" s="11">
        <f>SUM(D13:D20)</f>
        <v>2213661.84</v>
      </c>
      <c r="E21" s="11">
        <f>SUM(E13:E20)</f>
        <v>43941059.050000004</v>
      </c>
      <c r="F21" s="11">
        <f>SUM(F13:F20)</f>
        <v>46388090.070000008</v>
      </c>
      <c r="G21" s="11">
        <f>SUM(G13:G20)</f>
        <v>90329149.12000002</v>
      </c>
      <c r="H21" s="11">
        <f>SUM(H13:H20)</f>
        <v>464588618.0999999</v>
      </c>
      <c r="I21" s="36">
        <f t="shared" si="2"/>
        <v>0.81091675748571834</v>
      </c>
      <c r="K21" s="1"/>
      <c r="L21" s="137"/>
      <c r="M21" s="137"/>
      <c r="N21" s="137"/>
      <c r="O21" s="137"/>
      <c r="P21" s="137"/>
      <c r="Q21" s="1"/>
      <c r="R21" s="1"/>
      <c r="S21" s="1"/>
      <c r="T21" s="1"/>
      <c r="U21" s="1"/>
    </row>
    <row r="22" spans="1:21" s="5" customFormat="1" ht="24.95" customHeight="1" x14ac:dyDescent="0.25">
      <c r="A22" s="12"/>
      <c r="B22" s="13"/>
      <c r="C22" s="13"/>
      <c r="D22" s="13"/>
      <c r="E22" s="13"/>
      <c r="F22" s="13"/>
      <c r="G22" s="13"/>
      <c r="H22" s="13"/>
      <c r="I22" s="15"/>
      <c r="J22" s="46"/>
      <c r="K22" s="1"/>
      <c r="L22" s="137"/>
      <c r="M22" s="137"/>
      <c r="N22" s="137"/>
      <c r="O22" s="137"/>
      <c r="P22" s="137"/>
      <c r="Q22" s="1"/>
      <c r="R22" s="1"/>
      <c r="S22" s="1"/>
      <c r="T22" s="1"/>
      <c r="U22" s="1"/>
    </row>
    <row r="23" spans="1:21" s="5" customFormat="1" ht="24.95" customHeight="1" x14ac:dyDescent="0.25">
      <c r="A23" s="6" t="s">
        <v>28</v>
      </c>
      <c r="B23" s="7">
        <f>B12-B21</f>
        <v>-415559454.06999981</v>
      </c>
      <c r="C23" s="7">
        <f>C12-C21</f>
        <v>-141096767.21999991</v>
      </c>
      <c r="D23" s="7">
        <f>D12-D21</f>
        <v>9874871.8100000005</v>
      </c>
      <c r="E23" s="7">
        <f>E12-E21</f>
        <v>60179137.569999985</v>
      </c>
      <c r="F23" s="7"/>
      <c r="G23" s="7">
        <f>G12-G21</f>
        <v>13791047.49999997</v>
      </c>
      <c r="H23" s="7">
        <f>H12-H21</f>
        <v>-136887814.71999997</v>
      </c>
      <c r="I23" s="16"/>
      <c r="J23" s="47"/>
      <c r="K23" s="1"/>
      <c r="L23" s="137"/>
      <c r="M23" s="137"/>
      <c r="N23" s="137"/>
      <c r="O23" s="137"/>
      <c r="P23" s="137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7"/>
      <c r="J24" s="47"/>
      <c r="K24" s="1"/>
      <c r="L24" s="137"/>
      <c r="M24" s="137"/>
      <c r="N24" s="137"/>
      <c r="O24" s="137"/>
      <c r="P24" s="137"/>
      <c r="Q24" s="1"/>
      <c r="R24" s="1"/>
      <c r="S24" s="1"/>
      <c r="T24" s="1"/>
      <c r="U24" s="1"/>
    </row>
    <row r="25" spans="1:21" x14ac:dyDescent="0.25">
      <c r="A25" s="18" t="s">
        <v>78</v>
      </c>
      <c r="B25" s="20"/>
      <c r="C25" s="20"/>
      <c r="D25" s="20"/>
      <c r="E25" s="20">
        <v>364500000</v>
      </c>
      <c r="F25" s="20"/>
      <c r="G25" s="20">
        <f>E25</f>
        <v>364500000</v>
      </c>
      <c r="H25" s="20"/>
      <c r="I25" s="21"/>
      <c r="J25" s="46"/>
    </row>
    <row r="26" spans="1:21" ht="15.75" thickBot="1" x14ac:dyDescent="0.3">
      <c r="A26" s="22" t="s">
        <v>29</v>
      </c>
      <c r="B26" s="24"/>
      <c r="C26" s="24"/>
      <c r="D26" s="24"/>
      <c r="E26" s="24">
        <f>SUM(E23:E25)</f>
        <v>424679137.56999999</v>
      </c>
      <c r="F26" s="24"/>
      <c r="G26" s="24">
        <f>SUM(G23:G25)</f>
        <v>378291047.5</v>
      </c>
      <c r="H26" s="24"/>
      <c r="I26" s="25"/>
    </row>
    <row r="27" spans="1:21" x14ac:dyDescent="0.25">
      <c r="A27" s="5"/>
      <c r="B27" s="33"/>
      <c r="C27" s="33"/>
      <c r="D27" s="33"/>
      <c r="E27" s="33"/>
      <c r="F27" s="33"/>
      <c r="G27" s="33"/>
      <c r="H27" s="33"/>
      <c r="I27" s="5"/>
    </row>
    <row r="29" spans="1:21" x14ac:dyDescent="0.25">
      <c r="B29" s="137"/>
      <c r="C29" s="137"/>
      <c r="D29" s="150"/>
      <c r="E29" s="137"/>
      <c r="F29" s="137"/>
      <c r="G29" s="137"/>
      <c r="H29" s="137"/>
      <c r="I29" s="137"/>
      <c r="J29" s="137"/>
    </row>
    <row r="30" spans="1:21" x14ac:dyDescent="0.25">
      <c r="B30" s="137"/>
      <c r="C30" s="137"/>
      <c r="D30" s="150"/>
      <c r="E30" s="137"/>
      <c r="F30" s="137"/>
      <c r="G30" s="137"/>
      <c r="H30" s="137"/>
      <c r="I30" s="137"/>
      <c r="J30" s="137"/>
    </row>
    <row r="31" spans="1:21" x14ac:dyDescent="0.25">
      <c r="B31" s="137"/>
      <c r="C31" s="137"/>
      <c r="D31" s="150"/>
      <c r="E31" s="137"/>
      <c r="F31" s="137"/>
      <c r="G31" s="137"/>
      <c r="H31" s="137"/>
      <c r="I31" s="137"/>
      <c r="J31" s="137"/>
    </row>
    <row r="32" spans="1:21" x14ac:dyDescent="0.25">
      <c r="B32" s="137"/>
      <c r="C32" s="137"/>
      <c r="D32" s="137"/>
      <c r="E32" s="137"/>
      <c r="F32" s="137"/>
    </row>
    <row r="33" spans="2:10" x14ac:dyDescent="0.25">
      <c r="B33" s="137"/>
      <c r="C33" s="137"/>
      <c r="D33" s="137"/>
      <c r="E33" s="137"/>
      <c r="F33" s="137"/>
      <c r="G33" s="137"/>
      <c r="H33" s="137"/>
      <c r="J33" s="137"/>
    </row>
    <row r="34" spans="2:10" x14ac:dyDescent="0.25">
      <c r="B34" s="137"/>
      <c r="C34" s="137"/>
      <c r="D34" s="137"/>
      <c r="E34" s="137"/>
      <c r="F34" s="137"/>
      <c r="G34" s="137"/>
      <c r="H34" s="137"/>
      <c r="I34" s="137"/>
      <c r="J34" s="137"/>
    </row>
    <row r="35" spans="2:10" x14ac:dyDescent="0.25">
      <c r="B35" s="137"/>
      <c r="C35" s="137"/>
      <c r="D35" s="137"/>
      <c r="E35" s="137"/>
      <c r="F35" s="137"/>
      <c r="G35" s="137"/>
      <c r="H35" s="137"/>
      <c r="I35" s="137"/>
      <c r="J35" s="137"/>
    </row>
    <row r="36" spans="2:10" x14ac:dyDescent="0.25">
      <c r="B36" s="137"/>
      <c r="C36" s="137"/>
      <c r="D36" s="150"/>
      <c r="E36" s="137"/>
      <c r="F36" s="137"/>
      <c r="G36" s="137"/>
      <c r="H36" s="137"/>
      <c r="J36" s="137"/>
    </row>
    <row r="37" spans="2:10" x14ac:dyDescent="0.25">
      <c r="B37" s="137"/>
      <c r="C37" s="137"/>
      <c r="D37" s="150"/>
      <c r="E37" s="137"/>
      <c r="F37" s="137"/>
      <c r="G37" s="137"/>
      <c r="H37" s="137"/>
      <c r="J37" s="137"/>
    </row>
    <row r="38" spans="2:10" x14ac:dyDescent="0.25">
      <c r="B38" s="137"/>
      <c r="C38" s="137"/>
      <c r="D38" s="137"/>
      <c r="E38" s="137"/>
      <c r="F38" s="137"/>
      <c r="G38" s="137"/>
      <c r="H38" s="137"/>
      <c r="J38" s="137"/>
    </row>
    <row r="39" spans="2:10" x14ac:dyDescent="0.25">
      <c r="B39" s="137"/>
      <c r="C39" s="137"/>
      <c r="D39" s="150"/>
      <c r="E39" s="137"/>
      <c r="F39" s="137"/>
      <c r="G39" s="137"/>
      <c r="H39" s="137"/>
      <c r="J39" s="137"/>
    </row>
    <row r="40" spans="2:10" x14ac:dyDescent="0.25">
      <c r="B40" s="137"/>
      <c r="C40" s="137"/>
      <c r="D40" s="150"/>
      <c r="E40" s="137"/>
      <c r="F40" s="137"/>
      <c r="G40" s="137"/>
      <c r="H40" s="137"/>
      <c r="J40" s="137"/>
    </row>
    <row r="41" spans="2:10" x14ac:dyDescent="0.25">
      <c r="B41" s="137"/>
      <c r="C41" s="137"/>
      <c r="D41" s="150"/>
      <c r="E41" s="137"/>
      <c r="F41" s="137"/>
      <c r="G41" s="137"/>
      <c r="H41" s="137"/>
      <c r="J41" s="137"/>
    </row>
    <row r="42" spans="2:10" x14ac:dyDescent="0.25">
      <c r="B42" s="137"/>
      <c r="C42" s="137"/>
      <c r="D42" s="150"/>
      <c r="E42" s="137"/>
      <c r="F42" s="137"/>
      <c r="G42" s="137"/>
      <c r="H42" s="137"/>
      <c r="J42" s="137"/>
    </row>
    <row r="43" spans="2:10" x14ac:dyDescent="0.25">
      <c r="B43" s="137"/>
      <c r="C43" s="137"/>
      <c r="D43" s="137"/>
      <c r="E43" s="137"/>
      <c r="F43" s="137"/>
      <c r="J43" s="137"/>
    </row>
    <row r="44" spans="2:10" x14ac:dyDescent="0.25">
      <c r="B44" s="137"/>
      <c r="C44" s="137"/>
      <c r="D44" s="137"/>
      <c r="E44" s="137"/>
      <c r="F44" s="137"/>
      <c r="J44" s="137"/>
    </row>
    <row r="45" spans="2:10" x14ac:dyDescent="0.25">
      <c r="B45" s="137"/>
      <c r="C45" s="137"/>
      <c r="D45" s="137"/>
      <c r="E45" s="137"/>
      <c r="F45" s="137"/>
      <c r="J45" s="137"/>
    </row>
    <row r="46" spans="2:10" x14ac:dyDescent="0.25">
      <c r="B46" s="137"/>
      <c r="C46" s="137"/>
      <c r="D46" s="137"/>
      <c r="E46" s="137"/>
      <c r="F46" s="137"/>
      <c r="J46" s="137"/>
    </row>
    <row r="47" spans="2:10" x14ac:dyDescent="0.25">
      <c r="B47" s="137"/>
      <c r="C47" s="137"/>
      <c r="D47" s="137"/>
      <c r="E47" s="137"/>
      <c r="F47" s="137"/>
      <c r="J47" s="137"/>
    </row>
    <row r="48" spans="2:10" x14ac:dyDescent="0.25">
      <c r="B48" s="137"/>
      <c r="C48" s="137"/>
      <c r="D48" s="137"/>
      <c r="E48" s="137"/>
      <c r="F48" s="137"/>
      <c r="J48" s="137"/>
    </row>
    <row r="49" spans="9:9" x14ac:dyDescent="0.25">
      <c r="I49" s="30"/>
    </row>
    <row r="50" spans="9:9" x14ac:dyDescent="0.25">
      <c r="I50" s="30"/>
    </row>
    <row r="51" spans="9:9" x14ac:dyDescent="0.25">
      <c r="I51" s="30"/>
    </row>
    <row r="52" spans="9:9" x14ac:dyDescent="0.25">
      <c r="I52" s="30"/>
    </row>
    <row r="53" spans="9:9" x14ac:dyDescent="0.25">
      <c r="I53" s="30"/>
    </row>
    <row r="54" spans="9:9" x14ac:dyDescent="0.25">
      <c r="I54" s="30"/>
    </row>
    <row r="55" spans="9:9" x14ac:dyDescent="0.25">
      <c r="I55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45016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36</v>
      </c>
      <c r="B7" s="32" t="s">
        <v>38</v>
      </c>
      <c r="C7" s="32" t="s">
        <v>37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35</v>
      </c>
      <c r="M7" s="138"/>
      <c r="N7" s="138"/>
      <c r="O7" s="138"/>
      <c r="P7" s="138"/>
      <c r="Q7" s="138"/>
      <c r="R7" s="138"/>
    </row>
    <row r="8" spans="1:19" s="5" customFormat="1" x14ac:dyDescent="0.2">
      <c r="A8" s="6" t="s">
        <v>8</v>
      </c>
      <c r="B8" s="7">
        <v>11694445.879999999</v>
      </c>
      <c r="C8" s="7">
        <v>11694445.879999999</v>
      </c>
      <c r="D8" s="7">
        <v>380384.08000000007</v>
      </c>
      <c r="E8" s="7">
        <v>2458463.48</v>
      </c>
      <c r="F8" s="7">
        <v>0</v>
      </c>
      <c r="G8" s="7">
        <f t="shared" ref="G8:G17" si="0">SUM(E8:F8)</f>
        <v>2458463.48</v>
      </c>
      <c r="H8" s="7">
        <f t="shared" ref="H8:H12" si="1">C8-G8</f>
        <v>9235982.3999999985</v>
      </c>
      <c r="I8" s="39">
        <f>IF(C8=0,"NA",H8/C8)</f>
        <v>0.78977512015302087</v>
      </c>
      <c r="M8" s="138"/>
      <c r="N8" s="138"/>
      <c r="O8" s="138"/>
      <c r="P8" s="138"/>
      <c r="Q8" s="138"/>
      <c r="R8" s="13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19428.89</v>
      </c>
      <c r="E9" s="7">
        <v>122486.45000000001</v>
      </c>
      <c r="F9" s="7">
        <v>0</v>
      </c>
      <c r="G9" s="7">
        <f t="shared" si="0"/>
        <v>122486.45000000001</v>
      </c>
      <c r="H9" s="7">
        <f t="shared" si="1"/>
        <v>-122486.45000000001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60627.999999999978</v>
      </c>
      <c r="E10" s="7">
        <v>747736.00000000047</v>
      </c>
      <c r="F10" s="7">
        <v>0</v>
      </c>
      <c r="G10" s="7">
        <f t="shared" si="0"/>
        <v>747736.00000000047</v>
      </c>
      <c r="H10" s="7">
        <f t="shared" si="1"/>
        <v>466757.99999999953</v>
      </c>
      <c r="I10" s="39">
        <f t="shared" si="2"/>
        <v>0.38432301847518352</v>
      </c>
      <c r="M10" s="138"/>
      <c r="N10" s="138"/>
      <c r="O10" s="138"/>
      <c r="P10" s="138"/>
      <c r="Q10" s="138"/>
      <c r="R10" s="138"/>
    </row>
    <row r="11" spans="1:19" s="5" customFormat="1" x14ac:dyDescent="0.2">
      <c r="A11" s="6" t="s">
        <v>30</v>
      </c>
      <c r="B11" s="7">
        <v>53391815.120000005</v>
      </c>
      <c r="C11" s="7">
        <v>53391815.120000005</v>
      </c>
      <c r="D11" s="7">
        <v>7199491.5099999988</v>
      </c>
      <c r="E11" s="7">
        <v>49971729.429999977</v>
      </c>
      <c r="F11" s="7">
        <v>0</v>
      </c>
      <c r="G11" s="7">
        <f t="shared" si="0"/>
        <v>49971729.429999977</v>
      </c>
      <c r="H11" s="7">
        <f t="shared" si="1"/>
        <v>3420085.6900000274</v>
      </c>
      <c r="I11" s="39">
        <f t="shared" si="2"/>
        <v>6.4056366735486758E-2</v>
      </c>
      <c r="M11" s="138"/>
      <c r="N11" s="138"/>
      <c r="O11" s="138"/>
      <c r="P11" s="138"/>
      <c r="Q11" s="138"/>
      <c r="R11" s="138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19" s="5" customFormat="1" ht="24.95" customHeight="1" x14ac:dyDescent="0.25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7659932.4799999986</v>
      </c>
      <c r="E13" s="11">
        <f t="shared" si="3"/>
        <v>53300415.359999977</v>
      </c>
      <c r="F13" s="11">
        <f t="shared" si="3"/>
        <v>0</v>
      </c>
      <c r="G13" s="11">
        <f t="shared" si="3"/>
        <v>53300415.359999977</v>
      </c>
      <c r="H13" s="11">
        <f t="shared" si="3"/>
        <v>15800339.640000027</v>
      </c>
      <c r="I13" s="36">
        <f t="shared" si="2"/>
        <v>0.22865654130696583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19" s="5" customFormat="1" x14ac:dyDescent="0.25">
      <c r="A16" s="6" t="s">
        <v>31</v>
      </c>
      <c r="B16" s="7">
        <v>68718996.970000073</v>
      </c>
      <c r="C16" s="7">
        <v>68620215.970000058</v>
      </c>
      <c r="D16" s="7">
        <v>5366582.9700000007</v>
      </c>
      <c r="E16" s="7">
        <v>42550336.479999967</v>
      </c>
      <c r="F16" s="7">
        <v>2678858.0200000005</v>
      </c>
      <c r="G16" s="7">
        <f t="shared" si="0"/>
        <v>45229194.49999997</v>
      </c>
      <c r="H16" s="7">
        <f t="shared" si="4"/>
        <v>23391021.470000088</v>
      </c>
      <c r="I16" s="39">
        <f t="shared" si="2"/>
        <v>0.34087653527972522</v>
      </c>
      <c r="L16" s="1"/>
      <c r="M16" s="1"/>
      <c r="N16" s="1"/>
      <c r="O16" s="1"/>
      <c r="P16" s="1"/>
      <c r="Q16" s="1"/>
      <c r="R16" s="1"/>
      <c r="S16" s="1"/>
    </row>
    <row r="17" spans="1:22" s="5" customFormat="1" x14ac:dyDescent="0.25">
      <c r="A17" s="6" t="s">
        <v>26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2" s="5" customFormat="1" ht="24.95" customHeight="1" x14ac:dyDescent="0.25">
      <c r="A18" s="10" t="s">
        <v>27</v>
      </c>
      <c r="B18" s="11">
        <f>SUM(B14:B17)</f>
        <v>68785786.970000073</v>
      </c>
      <c r="C18" s="11">
        <f t="shared" ref="C18:G18" si="5">SUM(C14:C17)</f>
        <v>68620215.970000058</v>
      </c>
      <c r="D18" s="11">
        <f t="shared" si="5"/>
        <v>5366582.9700000007</v>
      </c>
      <c r="E18" s="11">
        <f t="shared" si="5"/>
        <v>42550336.479999967</v>
      </c>
      <c r="F18" s="11">
        <f t="shared" si="5"/>
        <v>2678858.0200000005</v>
      </c>
      <c r="G18" s="11">
        <f t="shared" si="5"/>
        <v>45229194.49999997</v>
      </c>
      <c r="H18" s="11">
        <f t="shared" ref="H18" si="6">SUM(H14:H17)</f>
        <v>23391021.470000088</v>
      </c>
      <c r="I18" s="36">
        <f t="shared" si="2"/>
        <v>0.34087653527972522</v>
      </c>
      <c r="L18" s="1"/>
      <c r="M18" s="1"/>
      <c r="N18" s="1"/>
      <c r="O18" s="1"/>
      <c r="P18" s="1"/>
      <c r="Q18" s="1"/>
      <c r="R18" s="1"/>
      <c r="S18" s="1"/>
    </row>
    <row r="19" spans="1:22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22" s="5" customFormat="1" x14ac:dyDescent="0.25">
      <c r="A20" s="6" t="s">
        <v>28</v>
      </c>
      <c r="B20" s="7">
        <f>B13-B18</f>
        <v>314968.02999992669</v>
      </c>
      <c r="C20" s="7">
        <f>C13-C18</f>
        <v>480539.02999994159</v>
      </c>
      <c r="D20" s="7">
        <f>D13-D18</f>
        <v>2293349.5099999979</v>
      </c>
      <c r="E20" s="7">
        <f>E13-E18</f>
        <v>10750078.88000001</v>
      </c>
      <c r="F20" s="7"/>
      <c r="G20" s="7">
        <f>G13-G18</f>
        <v>8071220.8600000069</v>
      </c>
      <c r="H20" s="7">
        <f>H13-H18</f>
        <v>-7590681.8300000615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22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R21" s="1"/>
      <c r="T21" s="1"/>
    </row>
    <row r="22" spans="1:22" s="5" customFormat="1" x14ac:dyDescent="0.25">
      <c r="A22" s="18" t="s">
        <v>78</v>
      </c>
      <c r="B22" s="20"/>
      <c r="C22" s="20"/>
      <c r="D22" s="20"/>
      <c r="E22" s="20">
        <v>18476000</v>
      </c>
      <c r="F22" s="20"/>
      <c r="G22" s="20">
        <f>E22</f>
        <v>18476000</v>
      </c>
      <c r="H22" s="20"/>
      <c r="I22" s="21"/>
      <c r="L22" s="1"/>
      <c r="M22" s="1"/>
      <c r="N22" s="1"/>
      <c r="O22" s="1"/>
      <c r="P22" s="1"/>
      <c r="Q22" s="1"/>
      <c r="T22" s="1"/>
    </row>
    <row r="23" spans="1:22" s="5" customFormat="1" ht="24.95" customHeight="1" thickBot="1" x14ac:dyDescent="0.3">
      <c r="A23" s="22" t="s">
        <v>29</v>
      </c>
      <c r="B23" s="24"/>
      <c r="C23" s="24"/>
      <c r="D23" s="24"/>
      <c r="E23" s="24">
        <f>SUM(E20:E22)</f>
        <v>29226078.88000001</v>
      </c>
      <c r="F23" s="24"/>
      <c r="G23" s="24">
        <f>SUM(G20:G22)</f>
        <v>26547220.860000007</v>
      </c>
      <c r="H23" s="24"/>
      <c r="I23" s="25"/>
      <c r="L23" s="1"/>
      <c r="M23" s="1"/>
      <c r="N23" s="1"/>
      <c r="O23" s="1"/>
      <c r="P23" s="1"/>
      <c r="Q23" s="1"/>
    </row>
    <row r="24" spans="1:22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</row>
    <row r="25" spans="1:22" s="5" customFormat="1" x14ac:dyDescent="0.25">
      <c r="B25" s="30"/>
      <c r="C25" s="30"/>
      <c r="D25" s="30"/>
      <c r="E25" s="1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2" s="5" customFormat="1" x14ac:dyDescent="0.25">
      <c r="A26" s="1"/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8" spans="1:22" x14ac:dyDescent="0.25">
      <c r="G28" s="1"/>
      <c r="H28" s="1"/>
    </row>
    <row r="30" spans="1:22" x14ac:dyDescent="0.25">
      <c r="G30" s="1"/>
      <c r="H30" s="1"/>
    </row>
    <row r="31" spans="1:22" x14ac:dyDescent="0.25">
      <c r="I31" s="30"/>
    </row>
    <row r="32" spans="1:22" x14ac:dyDescent="0.25">
      <c r="I32" s="30"/>
    </row>
    <row r="33" spans="5:8" x14ac:dyDescent="0.25">
      <c r="E33" s="1"/>
      <c r="F33" s="1"/>
      <c r="G33" s="1"/>
      <c r="H33" s="1"/>
    </row>
    <row r="34" spans="5:8" x14ac:dyDescent="0.25">
      <c r="G34" s="1"/>
      <c r="H34" s="1"/>
    </row>
    <row r="35" spans="5:8" x14ac:dyDescent="0.25">
      <c r="E35" s="1"/>
      <c r="F35" s="1"/>
      <c r="G35" s="1"/>
      <c r="H35" s="1"/>
    </row>
    <row r="36" spans="5:8" x14ac:dyDescent="0.25">
      <c r="G36" s="1"/>
      <c r="H36" s="1"/>
    </row>
    <row r="37" spans="5:8" x14ac:dyDescent="0.25">
      <c r="H37" s="1"/>
    </row>
    <row r="38" spans="5:8" x14ac:dyDescent="0.25">
      <c r="H38" s="1"/>
    </row>
    <row r="39" spans="5:8" x14ac:dyDescent="0.25">
      <c r="H39" s="1"/>
    </row>
    <row r="40" spans="5:8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2023-04-12T17:21:12Z</cp:lastPrinted>
  <dcterms:created xsi:type="dcterms:W3CDTF">2020-01-29T12:55:36Z</dcterms:created>
  <dcterms:modified xsi:type="dcterms:W3CDTF">2023-04-12T17:22:25Z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