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5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10" l="1"/>
  <c r="O19" i="10"/>
  <c r="O18" i="10"/>
  <c r="O17" i="10"/>
  <c r="O16" i="10"/>
  <c r="O15" i="10"/>
  <c r="O14" i="10"/>
  <c r="O13" i="10"/>
  <c r="O11" i="10"/>
  <c r="O10" i="10"/>
  <c r="O9" i="10"/>
  <c r="G20" i="4" l="1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N19" i="10" l="1"/>
  <c r="N18" i="10"/>
  <c r="N17" i="10"/>
  <c r="N16" i="10"/>
  <c r="N14" i="10"/>
  <c r="N13" i="10"/>
  <c r="N11" i="10"/>
  <c r="N10" i="10"/>
  <c r="N9" i="10"/>
  <c r="M40" i="10"/>
  <c r="M21" i="10" l="1"/>
  <c r="M19" i="10"/>
  <c r="M18" i="10"/>
  <c r="M17" i="10"/>
  <c r="M14" i="10"/>
  <c r="M13" i="10"/>
  <c r="M12" i="10"/>
  <c r="M11" i="10"/>
  <c r="M10" i="10"/>
  <c r="M9" i="10"/>
  <c r="I18" i="4"/>
  <c r="I19" i="4"/>
  <c r="G27" i="1" l="1"/>
  <c r="H27" i="1" s="1"/>
  <c r="I27" i="1" s="1"/>
  <c r="L21" i="10" l="1"/>
  <c r="L19" i="10"/>
  <c r="L14" i="10"/>
  <c r="L13" i="10"/>
  <c r="L11" i="10"/>
  <c r="L10" i="10"/>
  <c r="L9" i="10"/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G29" i="2"/>
  <c r="H29" i="2" s="1"/>
  <c r="I29" i="2" s="1"/>
  <c r="I14" i="4" l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T21" i="10"/>
  <c r="U25" i="10"/>
  <c r="C12" i="4" l="1"/>
  <c r="D12" i="4"/>
  <c r="E12" i="4"/>
  <c r="F12" i="4"/>
  <c r="B12" i="4"/>
  <c r="I15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0" i="4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<sst xmlns="http://schemas.openxmlformats.org/spreadsheetml/2006/main" count="267" uniqueCount="84">
  <si>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</si>
  <si>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</si>
  <si>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</si>
  <si>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</si>
  <si>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</si>
  <si>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</si>
  <si>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</si>
  <si>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</si>
  <si>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</si>
  <si>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</si>
  <si>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</si>
  <si>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</si>
  <si>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</si>
  <si>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</si>
  <si>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</si>
  <si>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</si>
  <si>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</si>
  <si>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</si>
  <si>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</si>
  <si>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</si>
  <si>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</si>
  <si>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</si>
  <si>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</si>
  <si>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</si>
  <si>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</si>
  <si>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</si>
  <si>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</si>
  <si>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</si>
  <si>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</si>
  <si>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</si>
  <si>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</si>
  <si>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</si>
  <si>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</si>
  <si>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</si>
  <si>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</si>
  <si>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</si>
  <si>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</si>
  <si>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</si>
  <si>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</si>
  <si>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</si>
  <si>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</si>
  <si>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</si>
  <si>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</si>
  <si>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</si>
  <si>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</si>
  <si>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</si>
  <si>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</si>
  <si>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</si>
  <si>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</si>
  <si>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</si>
  <si>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</si>
  <si>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</si>
  <si>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</si>
  <si>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</si>
  <si>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</si>
  <si>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</si>
  <si>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</si>
  <si>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</si>
  <si>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</si>
  <si>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</si>
  <si>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</si>
  <si>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</si>
  <si>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</si>
  <si>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</si>
  <si>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</si>
  <si>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</si>
  <si>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</si>
  <si>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</si>
  <si>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</si>
  <si>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</si>
  <si>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</si>
  <si>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</si>
  <si>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</si>
  <si>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</si>
  <si>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</si>
  <si>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</si>
  <si>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</si>
  <si>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>TOTAL GENERAL OPERATIONS BUDGET
$1,325,365,775</t>
  </si>
  <si>
    <t>GENERAL OPERATIONS YTD EXPENSES
$1,099,254,867</t>
  </si>
  <si>
    <t>(LOCAL &amp; OTHER)  Budgeted: $802,097,362  Actual: $799,470,290  99.67%
(STATE)  Budgeted: $503,441,426  Actual: $465,535,812   92.47%
TOTAL Budgeted: $1,305,538,788  Actual: $1,265,006,102   96.90%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</si>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</sst>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3338914380938094E-2"/>
                  <c:y val="-3.7887357531557184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6.1810628736603507E-2"/>
                  <c:y val="-2.7415504250518245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226110908.44999909</c:v>
                </c:pt>
                <c:pt idx="1">
                  <c:v>1099254866.7700009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(2023)'!$B$27</c:f>
              <c:strCache>
                <c:ptCount val="1"/>
                <c:pt idx="0">
                  <c:v>TOTAL GENERAL OPERATIONS BUDGET
$1,325,365,775</c:v>
                </c:pt>
              </c:strCache>
            </c:strRef>
          </c:cat>
          <c:val>
            <c:numRef>
              <c:f>'DATA for CHARTS (2023)'!$C$27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(2023)'!$B$27</c:f>
              <c:strCache>
                <c:ptCount val="1"/>
                <c:pt idx="0">
                  <c:v>TOTAL GENERAL OPERATIONS BUDGET
$1,325,365,775</c:v>
                </c:pt>
              </c:strCache>
            </c:strRef>
          </c:cat>
          <c:val>
            <c:numRef>
              <c:f>'DATA for CHARTS (2023)'!$D$27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(2023)'!$B$27</c:f>
              <c:strCache>
                <c:ptCount val="1"/>
                <c:pt idx="0">
                  <c:v>TOTAL GENERAL OPERATIONS BUDGET
$1,325,365,775</c:v>
                </c:pt>
              </c:strCache>
            </c:strRef>
          </c:cat>
          <c:val>
            <c:numRef>
              <c:f>'DATA for CHARTS (2023)'!$E$27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(2023)'!$B$27</c:f>
              <c:strCache>
                <c:ptCount val="1"/>
                <c:pt idx="0">
                  <c:v>TOTAL GENERAL OPERATIONS BUDGET
$1,325,365,775</c:v>
                </c:pt>
              </c:strCache>
            </c:strRef>
          </c:cat>
          <c:val>
            <c:numRef>
              <c:f>'DATA for CHARTS (2023)'!$F$27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13988131596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9.7784903266229128E-2"/>
                  <c:y val="-4.521841639015730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758924016142917"/>
                      <c:h val="7.7968970380818056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8.8749713708053291E-2"/>
                  <c:y val="3.469629044057723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553995319291104E-2"/>
                  <c:y val="8.86780760303409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9569732820508762E-2"/>
                  <c:y val="0.1338228031792217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299504813653559E-2"/>
                  <c:y val="5.04693683388307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2.0309379582316503E-2"/>
                  <c:y val="4.599817124410916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0.10481200334431752"/>
                  <c:y val="0.1121189567376930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7.4990641214983528E-2"/>
                  <c:y val="9.0624339064617598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6.856422285228389E-2"/>
                  <c:y val="-0.1100229890163588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691493950.81000102</c:v>
                </c:pt>
                <c:pt idx="1">
                  <c:v>64176143.729999997</c:v>
                </c:pt>
                <c:pt idx="2">
                  <c:v>13593105.819999982</c:v>
                </c:pt>
                <c:pt idx="3">
                  <c:v>270565.35000000021</c:v>
                </c:pt>
                <c:pt idx="4">
                  <c:v>12040008.770000031</c:v>
                </c:pt>
                <c:pt idx="5">
                  <c:v>36401611.460000001</c:v>
                </c:pt>
                <c:pt idx="6">
                  <c:v>70649818.129999921</c:v>
                </c:pt>
                <c:pt idx="7">
                  <c:v>13183802.280000001</c:v>
                </c:pt>
                <c:pt idx="8">
                  <c:v>112836345.52999997</c:v>
                </c:pt>
                <c:pt idx="9">
                  <c:v>57304588.440000005</c:v>
                </c:pt>
                <c:pt idx="10">
                  <c:v>24958415.559999999</c:v>
                </c:pt>
                <c:pt idx="11">
                  <c:v>1042364.9999999998</c:v>
                </c:pt>
                <c:pt idx="12">
                  <c:v>879557.13999999908</c:v>
                </c:pt>
                <c:pt idx="13">
                  <c:v>4588.75</c:v>
                </c:pt>
                <c:pt idx="14">
                  <c:v>420000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$1,099,254,867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691493950.81000102</c:v>
                </c:pt>
                <c:pt idx="1">
                  <c:v>64176143.729999997</c:v>
                </c:pt>
                <c:pt idx="2">
                  <c:v>13593105.819999982</c:v>
                </c:pt>
                <c:pt idx="3">
                  <c:v>270565.35000000021</c:v>
                </c:pt>
                <c:pt idx="4">
                  <c:v>12040008.770000031</c:v>
                </c:pt>
                <c:pt idx="5">
                  <c:v>36401611.460000001</c:v>
                </c:pt>
                <c:pt idx="6">
                  <c:v>70649818.129999921</c:v>
                </c:pt>
                <c:pt idx="7">
                  <c:v>13183802.280000001</c:v>
                </c:pt>
                <c:pt idx="8">
                  <c:v>112836345.52999997</c:v>
                </c:pt>
                <c:pt idx="9">
                  <c:v>57304588.440000005</c:v>
                </c:pt>
                <c:pt idx="10">
                  <c:v>24958415.559999999</c:v>
                </c:pt>
                <c:pt idx="11">
                  <c:v>1042364.9999999998</c:v>
                </c:pt>
                <c:pt idx="12">
                  <c:v>879557.13999999908</c:v>
                </c:pt>
                <c:pt idx="13">
                  <c:v>4588.75</c:v>
                </c:pt>
                <c:pt idx="14">
                  <c:v>420000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81202752"/>
        <c:axId val="1281200792"/>
      </c:barChart>
      <c:valAx>
        <c:axId val="1281200792"/>
        <c:scaling>
          <c:orientation val="minMax"/>
          <c:max val="7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0275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1281202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007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800559106.48000002</c:v>
                </c:pt>
                <c:pt idx="1">
                  <c:v>90000</c:v>
                </c:pt>
                <c:pt idx="2">
                  <c:v>503441425.62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786704692.24000001</c:v>
                </c:pt>
                <c:pt idx="1">
                  <c:v>12755848.699999999</c:v>
                </c:pt>
                <c:pt idx="2">
                  <c:v>465535811.83999997</c:v>
                </c:pt>
                <c:pt idx="3">
                  <c:v>9749.380000000001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$802,097,362  Actual: $799,470,290  99.67%
(STATE)  Budgeted: $503,441,426  Actual: $465,535,812   92.47%
TOTAL Budgeted: $1,305,538,788  Actual: $1,265,006,102   96.90%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$802,097,362  Actual: $799,470,290  99.67%
(STATE)  Budgeted: $503,441,426  Actual: $465,535,812   92.47%
TOTAL Budgeted: $1,305,538,788  Actual: $1,265,006,102   96.90%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1204320"/>
        <c:axId val="128120549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$799,470,290  99.67%
(STATE)  Budgeted: $503,441,426  Actual: $465,535,812   92.47%
TOTAL Budgeted: $1,305,538,788  Actual: $1,265,006,102   96.90%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$799,470,290  99.67%
(STATE)  Budgeted: $503,441,426  Actual: $465,535,812   92.47%
TOTAL Budgeted: $1,305,538,788  Actual: $1,265,006,102   96.90%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$799,470,290  99.67%
(STATE)  Budgeted: $503,441,426  Actual: $465,535,812   92.47%
TOTAL Budgeted: $1,305,538,788  Actual: $1,265,006,102   96.90%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$802,097,362  Actual: $799,470,290  99.67%
(STATE)  Budgeted: $503,441,426  Actual: $465,535,812   92.47%
TOTAL Budgeted: $1,305,538,788  Actual: $1,265,006,102   96.90%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128120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05496"/>
        <c:crosses val="autoZero"/>
        <c:auto val="1"/>
        <c:lblAlgn val="ctr"/>
        <c:lblOffset val="500"/>
        <c:noMultiLvlLbl val="0"/>
      </c:catAx>
      <c:valAx>
        <c:axId val="1281205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120432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$1,325,365,775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$1,099,254,867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$1,099,254,867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$802,097,362  Actual: $799,470,290  99.67%</a:t>
          </a:r>
        </a:p>
        <a:p xmlns:a="http://schemas.openxmlformats.org/drawingml/2006/main">
          <a:pPr algn="ctr"/>
          <a:r>
            <a:rPr lang="en-US" sz="1100"/>
            <a:t>(STATE)  Budgeted: $503,441,426  Actual: $465,535,812   92.47%</a:t>
          </a:r>
        </a:p>
        <a:p xmlns:a="http://schemas.openxmlformats.org/drawingml/2006/main">
          <a:pPr algn="ctr"/>
          <a:r>
            <a:rPr lang="en-US" sz="1100"/>
            <a:t>TOTAL Budgeted: $1,305,538,788  Actual: $1,265,006,102   96.90%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6.140625" style="30" bestFit="1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19" ht="18.75" x14ac:dyDescent="0.3">
      <c r="A2" s="152" t="s">
        <v>67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19" x14ac:dyDescent="0.25">
      <c r="A4" s="153">
        <v>45077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800385570.48000002</v>
      </c>
      <c r="C8" s="7">
        <v>800559106.48000002</v>
      </c>
      <c r="D8" s="7">
        <v>6438975.5700000003</v>
      </c>
      <c r="E8" s="7">
        <v>786704692.24000001</v>
      </c>
      <c r="F8" s="7">
        <v>0</v>
      </c>
      <c r="G8" s="7">
        <f t="shared" ref="G8:G28" si="0">SUM(E8:F8)</f>
        <v>786704692.24000001</v>
      </c>
      <c r="H8" s="7">
        <f t="shared" ref="H8:H11" si="1">C8-G8</f>
        <v>13854414.24000001</v>
      </c>
      <c r="I8" s="35">
        <f>IF(C8=0,"NA",H8/C8)</f>
        <v>1.7305922982897362E-2</v>
      </c>
      <c r="L8"/>
      <c r="M8" s="148"/>
      <c r="N8" s="148"/>
      <c r="O8" s="148"/>
      <c r="P8" s="148"/>
      <c r="Q8" s="148"/>
    </row>
    <row r="9" spans="1:19" s="5" customFormat="1" x14ac:dyDescent="0.2">
      <c r="A9" s="6" t="s">
        <v>9</v>
      </c>
      <c r="B9" s="7">
        <v>90000</v>
      </c>
      <c r="C9" s="7">
        <v>90000</v>
      </c>
      <c r="D9" s="7">
        <v>1631400.9</v>
      </c>
      <c r="E9" s="7">
        <v>12755848.699999999</v>
      </c>
      <c r="F9" s="7">
        <v>0</v>
      </c>
      <c r="G9" s="7">
        <f>SUM(E9:F9)</f>
        <v>12755848.699999999</v>
      </c>
      <c r="H9" s="7">
        <f>C9-G9</f>
        <v>-12665848.699999999</v>
      </c>
      <c r="I9" s="35">
        <f t="shared" ref="I9:I28" si="2">IF(C9=0,"NA",H9/C9)</f>
        <v>-140.73165222222221</v>
      </c>
      <c r="L9"/>
      <c r="M9" s="148"/>
      <c r="N9" s="148"/>
      <c r="O9" s="148"/>
      <c r="P9" s="148"/>
      <c r="Q9" s="148"/>
    </row>
    <row r="10" spans="1:19" s="5" customFormat="1" x14ac:dyDescent="0.2">
      <c r="A10" s="6" t="s">
        <v>10</v>
      </c>
      <c r="B10" s="7">
        <v>502758836.51999998</v>
      </c>
      <c r="C10" s="7">
        <v>503441425.62</v>
      </c>
      <c r="D10" s="7">
        <v>56590449.210000001</v>
      </c>
      <c r="E10" s="7">
        <v>465535811.84000003</v>
      </c>
      <c r="F10" s="7">
        <v>0</v>
      </c>
      <c r="G10" s="7">
        <f t="shared" si="0"/>
        <v>465535811.84000003</v>
      </c>
      <c r="H10" s="7">
        <f t="shared" si="1"/>
        <v>37905613.779999971</v>
      </c>
      <c r="I10" s="35">
        <f t="shared" si="2"/>
        <v>7.5292997061809752E-2</v>
      </c>
      <c r="L10"/>
      <c r="M10" s="148"/>
      <c r="N10" s="148"/>
      <c r="O10" s="148"/>
      <c r="P10" s="148"/>
      <c r="Q10" s="148"/>
    </row>
    <row r="11" spans="1:19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9749.3799999999992</v>
      </c>
      <c r="F11" s="7">
        <v>0</v>
      </c>
      <c r="G11" s="7">
        <f t="shared" si="0"/>
        <v>9749.3799999999992</v>
      </c>
      <c r="H11" s="7">
        <f t="shared" si="1"/>
        <v>1438506.62</v>
      </c>
      <c r="I11" s="35">
        <f t="shared" si="2"/>
        <v>0.99326819291616963</v>
      </c>
      <c r="L11"/>
      <c r="M11" s="148"/>
      <c r="N11" s="148"/>
      <c r="O11" s="148"/>
      <c r="P11" s="148"/>
      <c r="Q11" s="148"/>
    </row>
    <row r="12" spans="1:19" s="5" customFormat="1" ht="24.95" customHeight="1" x14ac:dyDescent="0.25">
      <c r="A12" s="10" t="s">
        <v>12</v>
      </c>
      <c r="B12" s="11">
        <f t="shared" ref="B12:H12" si="3">SUM(B8:B11)</f>
        <v>1304682663</v>
      </c>
      <c r="C12" s="11">
        <f t="shared" si="3"/>
        <v>1305538788.0999999</v>
      </c>
      <c r="D12" s="11">
        <f t="shared" si="3"/>
        <v>64660825.68</v>
      </c>
      <c r="E12" s="11">
        <f t="shared" si="3"/>
        <v>1265006102.1600003</v>
      </c>
      <c r="F12" s="11">
        <f t="shared" si="3"/>
        <v>0</v>
      </c>
      <c r="G12" s="11">
        <f t="shared" si="3"/>
        <v>1265006102.1600003</v>
      </c>
      <c r="H12" s="11">
        <f t="shared" si="3"/>
        <v>40532685.939999975</v>
      </c>
      <c r="I12" s="36">
        <f t="shared" si="2"/>
        <v>3.1046711372695966E-2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706077410.91999996</v>
      </c>
      <c r="C13" s="13">
        <v>704555648.63000083</v>
      </c>
      <c r="D13" s="13">
        <v>77420640.310001776</v>
      </c>
      <c r="E13" s="13">
        <v>691493950.81000102</v>
      </c>
      <c r="F13" s="13">
        <v>4283862.9300000025</v>
      </c>
      <c r="G13" s="13">
        <f t="shared" si="0"/>
        <v>695777813.74000096</v>
      </c>
      <c r="H13" s="13">
        <f t="shared" ref="H13:H28" si="4">C13-G13</f>
        <v>8777834.8899998665</v>
      </c>
      <c r="I13" s="35">
        <f t="shared" si="2"/>
        <v>1.2458682159554396E-2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138561844.03999999</v>
      </c>
      <c r="C14" s="7">
        <v>136277385.59</v>
      </c>
      <c r="D14" s="7">
        <v>7407976.7099999338</v>
      </c>
      <c r="E14" s="7">
        <v>64176143.729999997</v>
      </c>
      <c r="F14" s="7">
        <v>1566888.0200000003</v>
      </c>
      <c r="G14" s="7">
        <f t="shared" si="0"/>
        <v>65743031.75</v>
      </c>
      <c r="H14" s="7">
        <f t="shared" si="4"/>
        <v>70534353.840000004</v>
      </c>
      <c r="I14" s="35">
        <f t="shared" si="2"/>
        <v>0.51757930000365227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24523630.5</v>
      </c>
      <c r="C15" s="7">
        <v>25636179.170000002</v>
      </c>
      <c r="D15" s="7">
        <v>1419615.8500000008</v>
      </c>
      <c r="E15" s="7">
        <v>13593105.819999982</v>
      </c>
      <c r="F15" s="7">
        <v>225979.28999999998</v>
      </c>
      <c r="G15" s="7">
        <f t="shared" si="0"/>
        <v>13819085.109999981</v>
      </c>
      <c r="H15" s="7">
        <f t="shared" si="4"/>
        <v>11817094.060000021</v>
      </c>
      <c r="I15" s="35">
        <f t="shared" si="2"/>
        <v>0.46095379430912364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1135153.98</v>
      </c>
      <c r="C16" s="7">
        <v>323860.38</v>
      </c>
      <c r="D16" s="7">
        <v>49392.130000000005</v>
      </c>
      <c r="E16" s="7">
        <v>270565.35000000021</v>
      </c>
      <c r="F16" s="7">
        <v>2615</v>
      </c>
      <c r="G16" s="7">
        <f t="shared" si="0"/>
        <v>273180.35000000021</v>
      </c>
      <c r="H16" s="7">
        <f t="shared" si="4"/>
        <v>50680.029999999795</v>
      </c>
      <c r="I16" s="35">
        <f t="shared" si="2"/>
        <v>0.15648728010508661</v>
      </c>
      <c r="M16" s="138"/>
      <c r="N16" s="138"/>
      <c r="O16" s="138"/>
      <c r="P16" s="138"/>
      <c r="Q16" s="138"/>
    </row>
    <row r="17" spans="1:20" s="5" customFormat="1" x14ac:dyDescent="0.2">
      <c r="A17" s="6" t="s">
        <v>17</v>
      </c>
      <c r="B17" s="7">
        <v>16664317.899999974</v>
      </c>
      <c r="C17" s="7">
        <v>16832699.009999983</v>
      </c>
      <c r="D17" s="7">
        <v>1326743.5300000054</v>
      </c>
      <c r="E17" s="7">
        <v>12040008.770000026</v>
      </c>
      <c r="F17" s="7">
        <v>124440.56999999993</v>
      </c>
      <c r="G17" s="7">
        <f t="shared" si="0"/>
        <v>12164449.340000026</v>
      </c>
      <c r="H17" s="7">
        <f t="shared" si="4"/>
        <v>4668249.6699999571</v>
      </c>
      <c r="I17" s="35">
        <f t="shared" si="2"/>
        <v>0.27733221316597179</v>
      </c>
      <c r="M17" s="138"/>
      <c r="N17" s="138"/>
      <c r="O17" s="138"/>
      <c r="P17" s="138"/>
      <c r="Q17" s="138"/>
    </row>
    <row r="18" spans="1:20" s="5" customFormat="1" x14ac:dyDescent="0.2">
      <c r="A18" s="6" t="s">
        <v>18</v>
      </c>
      <c r="B18" s="7">
        <v>44175446.220000006</v>
      </c>
      <c r="C18" s="7">
        <v>43662553.45000001</v>
      </c>
      <c r="D18" s="7">
        <v>1558541.9800000028</v>
      </c>
      <c r="E18" s="7">
        <v>36401611.460000001</v>
      </c>
      <c r="F18" s="7">
        <v>739059.44999999984</v>
      </c>
      <c r="G18" s="7">
        <f t="shared" si="0"/>
        <v>37140670.910000004</v>
      </c>
      <c r="H18" s="7">
        <f t="shared" si="4"/>
        <v>6521882.5400000066</v>
      </c>
      <c r="I18" s="35">
        <f t="shared" si="2"/>
        <v>0.14937015874411727</v>
      </c>
      <c r="M18" s="138"/>
      <c r="N18" s="138"/>
      <c r="O18" s="138"/>
      <c r="P18" s="138"/>
      <c r="Q18" s="138"/>
    </row>
    <row r="19" spans="1:20" s="5" customFormat="1" x14ac:dyDescent="0.2">
      <c r="A19" s="6" t="s">
        <v>19</v>
      </c>
      <c r="B19" s="7">
        <v>74209903.609999985</v>
      </c>
      <c r="C19" s="7">
        <v>73367222.00999999</v>
      </c>
      <c r="D19" s="7">
        <v>7121227.1199999135</v>
      </c>
      <c r="E19" s="7">
        <v>70649818.129999921</v>
      </c>
      <c r="F19" s="7">
        <v>7147</v>
      </c>
      <c r="G19" s="7">
        <f t="shared" si="0"/>
        <v>70656965.129999921</v>
      </c>
      <c r="H19" s="7">
        <f t="shared" si="4"/>
        <v>2710256.8800000697</v>
      </c>
      <c r="I19" s="35">
        <f t="shared" si="2"/>
        <v>3.6940977261353307E-2</v>
      </c>
      <c r="M19" s="138"/>
      <c r="N19" s="138"/>
      <c r="O19" s="138"/>
      <c r="P19" s="138"/>
      <c r="Q19" s="138"/>
    </row>
    <row r="20" spans="1:20" s="5" customFormat="1" x14ac:dyDescent="0.2">
      <c r="A20" s="6" t="s">
        <v>20</v>
      </c>
      <c r="B20" s="7">
        <v>18798662.91</v>
      </c>
      <c r="C20" s="7">
        <v>18733719.080000002</v>
      </c>
      <c r="D20" s="7">
        <v>1039612.3300000001</v>
      </c>
      <c r="E20" s="7">
        <v>13183802.280000001</v>
      </c>
      <c r="F20" s="7">
        <v>756453.45000000019</v>
      </c>
      <c r="G20" s="7">
        <f t="shared" si="0"/>
        <v>13940255.73</v>
      </c>
      <c r="H20" s="7">
        <f t="shared" si="4"/>
        <v>4793463.3500000015</v>
      </c>
      <c r="I20" s="35">
        <f t="shared" si="2"/>
        <v>0.25587355770256381</v>
      </c>
      <c r="M20" s="138"/>
      <c r="N20" s="138"/>
      <c r="O20" s="138"/>
      <c r="P20" s="138"/>
      <c r="Q20" s="138"/>
    </row>
    <row r="21" spans="1:20" s="5" customFormat="1" x14ac:dyDescent="0.2">
      <c r="A21" s="6" t="s">
        <v>76</v>
      </c>
      <c r="B21" s="7">
        <v>180228363.12999997</v>
      </c>
      <c r="C21" s="7">
        <v>180548854.52999991</v>
      </c>
      <c r="D21" s="7">
        <v>11716399.899999965</v>
      </c>
      <c r="E21" s="7">
        <v>112836345.52999994</v>
      </c>
      <c r="F21" s="7">
        <v>26629975.239999998</v>
      </c>
      <c r="G21" s="7">
        <f t="shared" si="0"/>
        <v>139466320.76999995</v>
      </c>
      <c r="H21" s="7">
        <f t="shared" si="4"/>
        <v>41082533.759999961</v>
      </c>
      <c r="I21" s="35">
        <f t="shared" si="2"/>
        <v>0.22754247800100946</v>
      </c>
      <c r="M21" s="138"/>
      <c r="N21" s="138"/>
      <c r="O21" s="138"/>
      <c r="P21" s="138"/>
      <c r="Q21" s="138"/>
    </row>
    <row r="22" spans="1:20" s="5" customFormat="1" x14ac:dyDescent="0.2">
      <c r="A22" s="6" t="s">
        <v>21</v>
      </c>
      <c r="B22" s="7">
        <v>81128867.840000004</v>
      </c>
      <c r="C22" s="7">
        <v>83370512.290000007</v>
      </c>
      <c r="D22" s="7">
        <v>5934734.2200000016</v>
      </c>
      <c r="E22" s="7">
        <v>57304588.440000005</v>
      </c>
      <c r="F22" s="7">
        <v>6260201.2699999996</v>
      </c>
      <c r="G22" s="7">
        <f t="shared" si="0"/>
        <v>63564789.710000008</v>
      </c>
      <c r="H22" s="7">
        <f t="shared" si="4"/>
        <v>19805722.579999998</v>
      </c>
      <c r="I22" s="35">
        <f t="shared" si="2"/>
        <v>0.2375626829676519</v>
      </c>
      <c r="M22" s="138"/>
      <c r="N22" s="138"/>
      <c r="O22" s="138"/>
      <c r="P22" s="138"/>
      <c r="Q22" s="138"/>
    </row>
    <row r="23" spans="1:20" s="5" customFormat="1" x14ac:dyDescent="0.2">
      <c r="A23" s="6" t="s">
        <v>22</v>
      </c>
      <c r="B23" s="7">
        <v>28852493.619999994</v>
      </c>
      <c r="C23" s="7">
        <v>31147866.79999999</v>
      </c>
      <c r="D23" s="7">
        <v>2320559.7400000016</v>
      </c>
      <c r="E23" s="7">
        <v>24958415.560000002</v>
      </c>
      <c r="F23" s="7">
        <v>737800.56000000017</v>
      </c>
      <c r="G23" s="7">
        <f t="shared" si="0"/>
        <v>25696216.120000001</v>
      </c>
      <c r="H23" s="7">
        <f t="shared" si="4"/>
        <v>5451650.6799999885</v>
      </c>
      <c r="I23" s="35">
        <f t="shared" si="2"/>
        <v>0.1750248488927014</v>
      </c>
      <c r="M23" s="138"/>
      <c r="N23" s="138"/>
      <c r="O23" s="138"/>
      <c r="P23" s="138"/>
      <c r="Q23" s="138"/>
    </row>
    <row r="24" spans="1:20" s="5" customFormat="1" x14ac:dyDescent="0.25">
      <c r="A24" s="6" t="s">
        <v>23</v>
      </c>
      <c r="B24" s="7">
        <v>1932771.7399999998</v>
      </c>
      <c r="C24" s="7">
        <v>1349693.7899999998</v>
      </c>
      <c r="D24" s="7">
        <v>131728.16999999998</v>
      </c>
      <c r="E24" s="7">
        <v>1042364.9999999998</v>
      </c>
      <c r="F24" s="7">
        <v>0</v>
      </c>
      <c r="G24" s="7">
        <f t="shared" si="0"/>
        <v>1042364.9999999998</v>
      </c>
      <c r="H24" s="7">
        <f t="shared" si="4"/>
        <v>307328.79000000004</v>
      </c>
      <c r="I24" s="35">
        <f t="shared" si="2"/>
        <v>0.22770260356610225</v>
      </c>
      <c r="L24" s="1"/>
      <c r="M24" s="137"/>
      <c r="N24" s="137"/>
      <c r="O24" s="137"/>
      <c r="P24" s="137"/>
      <c r="Q24" s="137"/>
    </row>
    <row r="25" spans="1:20" s="5" customFormat="1" x14ac:dyDescent="0.25">
      <c r="A25" s="6" t="s">
        <v>29</v>
      </c>
      <c r="B25" s="7">
        <v>1005000</v>
      </c>
      <c r="C25" s="7">
        <v>1005000</v>
      </c>
      <c r="D25" s="7">
        <v>198474.59999999998</v>
      </c>
      <c r="E25" s="7">
        <v>879557.1399999992</v>
      </c>
      <c r="F25" s="7">
        <v>0</v>
      </c>
      <c r="G25" s="7">
        <f t="shared" si="0"/>
        <v>879557.1399999992</v>
      </c>
      <c r="H25" s="7">
        <f t="shared" si="4"/>
        <v>125442.8600000008</v>
      </c>
      <c r="I25" s="35">
        <f t="shared" si="2"/>
        <v>0.12481876616915502</v>
      </c>
      <c r="L25" s="1"/>
      <c r="M25" s="137"/>
      <c r="N25" s="137"/>
      <c r="O25" s="137"/>
      <c r="P25" s="137"/>
      <c r="Q25" s="137"/>
    </row>
    <row r="26" spans="1:20" s="5" customFormat="1" x14ac:dyDescent="0.25">
      <c r="A26" s="6" t="s">
        <v>30</v>
      </c>
      <c r="B26" s="7">
        <v>1346246.49</v>
      </c>
      <c r="C26" s="7">
        <v>967246.49</v>
      </c>
      <c r="D26" s="7">
        <v>0</v>
      </c>
      <c r="E26" s="7">
        <v>4588.75</v>
      </c>
      <c r="F26" s="7">
        <v>0</v>
      </c>
      <c r="G26" s="7">
        <f t="shared" ref="G26" si="5">SUM(E26:F26)</f>
        <v>4588.75</v>
      </c>
      <c r="H26" s="7">
        <f t="shared" ref="H26" si="6">C26-G26</f>
        <v>962657.74</v>
      </c>
      <c r="I26" s="35">
        <f t="shared" ref="I26" si="7">IF(C26=0,"NA",H26/C26)</f>
        <v>0.99525586285663337</v>
      </c>
      <c r="K26" s="1"/>
      <c r="L26" s="1"/>
      <c r="M26" s="137"/>
      <c r="N26" s="137"/>
      <c r="O26" s="137"/>
      <c r="P26" s="137"/>
      <c r="Q26" s="137"/>
      <c r="R26" s="1"/>
    </row>
    <row r="27" spans="1:20" s="5" customFormat="1" x14ac:dyDescent="0.25">
      <c r="A27" s="6" t="s">
        <v>25</v>
      </c>
      <c r="B27" s="7">
        <v>7837334</v>
      </c>
      <c r="C27" s="7">
        <v>7587334</v>
      </c>
      <c r="D27" s="7">
        <v>420000</v>
      </c>
      <c r="E27" s="7">
        <v>420000</v>
      </c>
      <c r="F27" s="7">
        <v>0</v>
      </c>
      <c r="G27" s="7">
        <f t="shared" si="0"/>
        <v>420000</v>
      </c>
      <c r="H27" s="7">
        <f t="shared" si="4"/>
        <v>7167334</v>
      </c>
      <c r="I27" s="35">
        <f t="shared" si="2"/>
        <v>0.94464458794090256</v>
      </c>
      <c r="K27" s="1"/>
      <c r="L27" s="1"/>
      <c r="M27" s="137"/>
      <c r="N27" s="137"/>
      <c r="O27" s="137"/>
      <c r="P27" s="137"/>
      <c r="Q27" s="137"/>
      <c r="R27" s="1"/>
      <c r="S27" s="1"/>
    </row>
    <row r="28" spans="1:20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</row>
    <row r="29" spans="1:20" s="5" customFormat="1" ht="24.95" customHeight="1" x14ac:dyDescent="0.25">
      <c r="A29" s="10" t="s">
        <v>26</v>
      </c>
      <c r="B29" s="11">
        <f t="shared" ref="B29:H29" si="8">SUM(B13:B28)</f>
        <v>1326477446.8999996</v>
      </c>
      <c r="C29" s="11">
        <f t="shared" si="8"/>
        <v>1325365775.2200007</v>
      </c>
      <c r="D29" s="11">
        <f t="shared" si="8"/>
        <v>118065646.59000157</v>
      </c>
      <c r="E29" s="11">
        <f t="shared" si="8"/>
        <v>1099254866.7700009</v>
      </c>
      <c r="F29" s="11">
        <f t="shared" si="8"/>
        <v>41334422.780000001</v>
      </c>
      <c r="G29" s="11">
        <f t="shared" si="8"/>
        <v>1140589289.5500009</v>
      </c>
      <c r="H29" s="11">
        <f t="shared" si="8"/>
        <v>184776485.6699999</v>
      </c>
      <c r="I29" s="36">
        <f>IF(C29=0,"NA",H29/C29)</f>
        <v>0.13941546486616374</v>
      </c>
      <c r="L29" s="1"/>
      <c r="M29" s="137"/>
      <c r="N29" s="137"/>
      <c r="O29" s="137"/>
      <c r="P29" s="137"/>
      <c r="Q29" s="137"/>
      <c r="R29" s="1"/>
    </row>
    <row r="30" spans="1:20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37"/>
      <c r="N30" s="137"/>
      <c r="O30" s="137"/>
      <c r="P30" s="137"/>
      <c r="Q30" s="137"/>
      <c r="R30" s="1"/>
    </row>
    <row r="31" spans="1:20" s="5" customFormat="1" ht="24.95" customHeight="1" x14ac:dyDescent="0.25">
      <c r="A31" s="6" t="s">
        <v>27</v>
      </c>
      <c r="B31" s="7">
        <f>B12-B29</f>
        <v>-21794783.899999619</v>
      </c>
      <c r="C31" s="7">
        <f>C12-C29</f>
        <v>-19826987.120000839</v>
      </c>
      <c r="D31" s="7">
        <f>D12-D29</f>
        <v>-53404820.910001568</v>
      </c>
      <c r="E31" s="7">
        <f>E12-E29</f>
        <v>165751235.38999939</v>
      </c>
      <c r="F31" s="7"/>
      <c r="G31" s="7">
        <f>G12-G29</f>
        <v>124416812.60999942</v>
      </c>
      <c r="H31" s="7"/>
      <c r="I31" s="16"/>
      <c r="K31" s="1"/>
      <c r="L31" s="1"/>
      <c r="M31" s="137"/>
      <c r="N31" s="137"/>
      <c r="O31" s="137"/>
      <c r="P31" s="137"/>
      <c r="Q31" s="137"/>
      <c r="R31" s="1"/>
      <c r="S31" s="1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37"/>
      <c r="N32" s="137"/>
      <c r="O32" s="137"/>
      <c r="P32" s="137"/>
      <c r="Q32" s="137"/>
      <c r="R32" s="1"/>
      <c r="S32" s="1"/>
      <c r="T32" s="1"/>
    </row>
    <row r="33" spans="1:21" s="5" customFormat="1" x14ac:dyDescent="0.25">
      <c r="A33" s="146" t="s">
        <v>73</v>
      </c>
      <c r="B33" s="20"/>
      <c r="C33" s="20"/>
      <c r="D33" s="20"/>
      <c r="E33" s="20">
        <v>265464594.49999699</v>
      </c>
      <c r="F33" s="20"/>
      <c r="G33" s="20">
        <f>E33</f>
        <v>265464594.49999699</v>
      </c>
      <c r="H33" s="20"/>
      <c r="I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6" t="s">
        <v>74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75</v>
      </c>
      <c r="B35" s="20"/>
      <c r="C35" s="20"/>
      <c r="D35" s="20"/>
      <c r="E35" s="20">
        <f>E33-E34</f>
        <v>220464594.49999699</v>
      </c>
      <c r="F35" s="20"/>
      <c r="G35" s="20">
        <f>E35</f>
        <v>220464594.49999699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386215829.88999641</v>
      </c>
      <c r="F36" s="24"/>
      <c r="G36" s="24">
        <f>+G35+G31</f>
        <v>344881407.10999644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37"/>
      <c r="H39" s="137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37"/>
      <c r="H40" s="137"/>
    </row>
    <row r="41" spans="1:21" x14ac:dyDescent="0.25">
      <c r="B41" s="137"/>
      <c r="C41" s="137"/>
      <c r="D41" s="137"/>
      <c r="E41" s="137"/>
      <c r="F41" s="137"/>
      <c r="G41" s="137"/>
      <c r="H41" s="137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L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  <c r="L43" s="137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L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7"/>
      <c r="C57" s="137"/>
      <c r="D57" s="137"/>
      <c r="E57" s="137"/>
      <c r="F57" s="1"/>
      <c r="G57" s="1"/>
      <c r="H57" s="1"/>
      <c r="L57" s="137"/>
      <c r="N57" s="1"/>
      <c r="O57" s="1"/>
      <c r="P57" s="1"/>
      <c r="Q57" s="1"/>
    </row>
    <row r="58" spans="2:17" x14ac:dyDescent="0.25">
      <c r="B58" s="137"/>
      <c r="C58" s="137"/>
      <c r="D58" s="137"/>
      <c r="E58" s="137"/>
      <c r="F58" s="1"/>
      <c r="G58" s="1"/>
      <c r="H58" s="1"/>
      <c r="L58" s="137"/>
      <c r="P58" s="1"/>
      <c r="Q58" s="1"/>
    </row>
    <row r="59" spans="2:17" x14ac:dyDescent="0.25">
      <c r="B59" s="137"/>
      <c r="C59" s="137"/>
      <c r="D59" s="137"/>
      <c r="E59" s="137"/>
      <c r="F59" s="1"/>
      <c r="G59" s="1"/>
      <c r="H59" s="1"/>
      <c r="L59" s="137"/>
      <c r="P59" s="1"/>
      <c r="Q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selection sqref="A1:G1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6" width="13.42578125" style="50" bestFit="1" customWidth="1"/>
    <col min="17" max="17" width="12.5703125" style="50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72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35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36</v>
      </c>
      <c r="C5" s="54" t="s">
        <v>37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38</v>
      </c>
      <c r="B6" s="56">
        <v>1325365775.22</v>
      </c>
      <c r="C6" s="57">
        <f>SUM(F25:Q25)</f>
        <v>1099254866.7700009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39</v>
      </c>
      <c r="F7" s="61" t="s">
        <v>40</v>
      </c>
      <c r="G7" s="62" t="s">
        <v>41</v>
      </c>
      <c r="H7" s="62" t="s">
        <v>42</v>
      </c>
      <c r="I7" s="62" t="s">
        <v>43</v>
      </c>
      <c r="J7" s="62" t="s">
        <v>44</v>
      </c>
      <c r="K7" s="62" t="s">
        <v>45</v>
      </c>
      <c r="L7" s="62" t="s">
        <v>46</v>
      </c>
      <c r="M7" s="62" t="s">
        <v>47</v>
      </c>
      <c r="N7" s="62" t="s">
        <v>48</v>
      </c>
      <c r="O7" s="62" t="s">
        <v>49</v>
      </c>
      <c r="P7" s="62" t="s">
        <v>50</v>
      </c>
      <c r="Q7" s="63" t="s">
        <v>51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691493950.81000102</v>
      </c>
      <c r="F9" s="50">
        <f>9808420.78-801492.680000011</f>
        <v>9006928.0999999885</v>
      </c>
      <c r="G9" s="50">
        <f>12409518.8299999-402448.789999992</f>
        <v>12007070.039999908</v>
      </c>
      <c r="H9" s="50">
        <f>70514974.5300016+22512.8699983358</f>
        <v>70537487.399999931</v>
      </c>
      <c r="I9" s="50">
        <f>71835021.2100015+31672.38</f>
        <v>71866693.590001494</v>
      </c>
      <c r="J9" s="50">
        <f>68948166.4000016 + 5566429.94999957</f>
        <v>74514596.350001171</v>
      </c>
      <c r="K9" s="50">
        <f>72382507.6800014-14170.4900033473</f>
        <v>72368337.189998046</v>
      </c>
      <c r="L9" s="50">
        <f>70932368.2900015+19166.3300010561</f>
        <v>70951534.620002553</v>
      </c>
      <c r="M9" s="50">
        <f>85817890.3400019+56610.6599959135</f>
        <v>85874500.99999781</v>
      </c>
      <c r="N9" s="50">
        <f>70216909.2100014+98642.5000008345</f>
        <v>70315551.710002229</v>
      </c>
      <c r="O9" s="50">
        <f>73452355.6100017+3178254.8899945</f>
        <v>76630610.4999962</v>
      </c>
      <c r="P9" s="51">
        <v>77420640.310001776</v>
      </c>
      <c r="Q9" s="51"/>
      <c r="R9" s="51" t="s">
        <v>13</v>
      </c>
      <c r="S9" s="99">
        <v>691493950.81000102</v>
      </c>
      <c r="T9" s="99">
        <f>S9-E9</f>
        <v>0</v>
      </c>
      <c r="U9" s="99">
        <v>3178254.8899945002</v>
      </c>
    </row>
    <row r="10" spans="1:21" x14ac:dyDescent="0.2">
      <c r="B10" s="50"/>
      <c r="D10" s="52" t="s">
        <v>14</v>
      </c>
      <c r="E10" s="65">
        <f t="shared" ref="E10:E24" si="0">SUM(F10:Q10)</f>
        <v>64176143.729999997</v>
      </c>
      <c r="F10" s="50">
        <f>744217.770000002+10105.1699999985</f>
        <v>754322.94000000053</v>
      </c>
      <c r="G10" s="50">
        <f>1863052.67999999+6695.29000000283</f>
        <v>1869747.9699999928</v>
      </c>
      <c r="H10" s="50">
        <f>6535361.87999997+9897.4400000181</f>
        <v>6545259.3199999882</v>
      </c>
      <c r="I10" s="50">
        <v>6551632.0899999309</v>
      </c>
      <c r="J10" s="50">
        <f>6704104.91999993 + 9821.08000003173</f>
        <v>6713925.9999999618</v>
      </c>
      <c r="K10" s="50">
        <f>7025545.40999994+19794.8800001814</f>
        <v>7045340.2900001211</v>
      </c>
      <c r="L10" s="50">
        <f>6431955.31999996+9897.43999997526</f>
        <v>6441852.7599999355</v>
      </c>
      <c r="M10" s="50">
        <f>7366420.04999993+9897.44000012427</f>
        <v>7376317.4900000542</v>
      </c>
      <c r="N10" s="50">
        <f>6473181.31999992+15798.4200000613</f>
        <v>6488979.7399999816</v>
      </c>
      <c r="O10" s="50">
        <f>6718679.81999998+262108.600000121</f>
        <v>6980788.4200001005</v>
      </c>
      <c r="P10" s="51">
        <v>7407976.7099999338</v>
      </c>
      <c r="Q10" s="51"/>
      <c r="R10" s="51" t="s">
        <v>14</v>
      </c>
      <c r="S10" s="99">
        <v>64176143.729999997</v>
      </c>
      <c r="T10" s="99">
        <f t="shared" ref="T10:T24" si="1">S10-E10</f>
        <v>0</v>
      </c>
      <c r="U10" s="99">
        <v>262108.60000012099</v>
      </c>
    </row>
    <row r="11" spans="1:21" x14ac:dyDescent="0.2">
      <c r="B11" s="50"/>
      <c r="D11" s="52" t="s">
        <v>15</v>
      </c>
      <c r="E11" s="65">
        <f t="shared" si="0"/>
        <v>13593105.819999982</v>
      </c>
      <c r="F11" s="50">
        <f>1063610.27-3992.91000000014</f>
        <v>1059617.3599999999</v>
      </c>
      <c r="G11" s="50">
        <f>1799349.93+20302.8100000009</f>
        <v>1819652.7400000009</v>
      </c>
      <c r="H11" s="50">
        <f>1075530.85+6467.12999999802</f>
        <v>1081997.9799999981</v>
      </c>
      <c r="I11" s="50">
        <f>1072231.25+415.79</f>
        <v>1072647.04</v>
      </c>
      <c r="J11" s="50">
        <f>975226.580000001 -9337.46000000089</f>
        <v>965889.12000000011</v>
      </c>
      <c r="K11" s="50">
        <f>1120657.99+-19794.9199999952</f>
        <v>1100863.0700000047</v>
      </c>
      <c r="L11" s="50">
        <f>1007257.49-9178.0299999956</f>
        <v>998079.46000000439</v>
      </c>
      <c r="M11" s="50">
        <f>1359637.53+2156.45000000111</f>
        <v>1361793.9800000011</v>
      </c>
      <c r="N11" s="50">
        <f>1240823.53+9716.24999997392</f>
        <v>1250539.779999974</v>
      </c>
      <c r="O11" s="50">
        <f>1452425.15+9984.28999999724</f>
        <v>1462409.4399999972</v>
      </c>
      <c r="P11" s="51">
        <v>1419615.8500000008</v>
      </c>
      <c r="Q11" s="51"/>
      <c r="R11" s="51" t="s">
        <v>15</v>
      </c>
      <c r="S11" s="99">
        <v>13593105.819999982</v>
      </c>
      <c r="T11" s="99">
        <f t="shared" si="1"/>
        <v>0</v>
      </c>
      <c r="U11" s="99">
        <v>9984.2899999972396</v>
      </c>
    </row>
    <row r="12" spans="1:21" x14ac:dyDescent="0.2">
      <c r="B12" s="50"/>
      <c r="D12" s="52" t="s">
        <v>16</v>
      </c>
      <c r="E12" s="65">
        <f t="shared" si="0"/>
        <v>270565.35000000021</v>
      </c>
      <c r="F12" s="50">
        <v>0</v>
      </c>
      <c r="G12" s="50">
        <v>350</v>
      </c>
      <c r="H12" s="50">
        <v>815.89999999999986</v>
      </c>
      <c r="I12" s="50">
        <v>0</v>
      </c>
      <c r="J12" s="50">
        <v>0</v>
      </c>
      <c r="K12" s="50">
        <v>44946.500000000036</v>
      </c>
      <c r="L12" s="50">
        <v>-3290.4</v>
      </c>
      <c r="M12" s="50">
        <f>171682.13+1000.00000000017</f>
        <v>172682.13000000018</v>
      </c>
      <c r="N12" s="50">
        <v>4049.09</v>
      </c>
      <c r="O12" s="50">
        <v>1620</v>
      </c>
      <c r="P12" s="51">
        <v>49392.130000000005</v>
      </c>
      <c r="Q12" s="51"/>
      <c r="R12" s="51" t="s">
        <v>16</v>
      </c>
      <c r="S12" s="99">
        <v>270565.35000000021</v>
      </c>
      <c r="T12" s="99">
        <f t="shared" si="1"/>
        <v>0</v>
      </c>
      <c r="U12" s="99">
        <v>0</v>
      </c>
    </row>
    <row r="13" spans="1:21" x14ac:dyDescent="0.2">
      <c r="B13" s="50"/>
      <c r="D13" s="52" t="s">
        <v>17</v>
      </c>
      <c r="E13" s="65">
        <f t="shared" si="0"/>
        <v>12040008.770000031</v>
      </c>
      <c r="F13" s="50">
        <v>48606.109999999986</v>
      </c>
      <c r="G13" s="50">
        <f>67238.6+3580.15000000013</f>
        <v>70818.750000000131</v>
      </c>
      <c r="H13" s="50">
        <f>1142256.26000001+1337.05999999167</f>
        <v>1143593.3200000017</v>
      </c>
      <c r="I13" s="50">
        <f>1147318.31+8164.14</f>
        <v>1155482.45</v>
      </c>
      <c r="J13" s="50">
        <v>1372314.1600000055</v>
      </c>
      <c r="K13" s="50">
        <f>1170647.16000001+6760.21999999601</f>
        <v>1177407.3800000059</v>
      </c>
      <c r="L13" s="50">
        <f>1440021.42000001+81456.0399999777</f>
        <v>1521477.4599999876</v>
      </c>
      <c r="M13" s="50">
        <f>1314374.69000001+162360.139999995</f>
        <v>1476734.830000005</v>
      </c>
      <c r="N13" s="50">
        <f>1231238.26000001+210066.539999992</f>
        <v>1441304.8000000021</v>
      </c>
      <c r="O13" s="50">
        <f>1239185.96000001+66340.0200000089</f>
        <v>1305525.9800000188</v>
      </c>
      <c r="P13" s="51">
        <v>1326743.5300000054</v>
      </c>
      <c r="Q13" s="51"/>
      <c r="R13" s="51" t="s">
        <v>17</v>
      </c>
      <c r="S13" s="99">
        <v>12040008.770000026</v>
      </c>
      <c r="T13" s="99">
        <f t="shared" si="1"/>
        <v>0</v>
      </c>
      <c r="U13" s="99">
        <v>66340.020000008895</v>
      </c>
    </row>
    <row r="14" spans="1:21" x14ac:dyDescent="0.2">
      <c r="B14" s="50"/>
      <c r="D14" s="52" t="s">
        <v>18</v>
      </c>
      <c r="E14" s="65">
        <f t="shared" si="0"/>
        <v>36401611.460000001</v>
      </c>
      <c r="F14" s="50">
        <f>902161.310000002-151.900000002235</f>
        <v>902009.4099999998</v>
      </c>
      <c r="G14" s="50">
        <f>1317728.15-234499.430000001</f>
        <v>1083228.7199999988</v>
      </c>
      <c r="H14" s="50">
        <f>1327756.7+11447.0299999974</f>
        <v>1339203.7299999974</v>
      </c>
      <c r="I14" s="50">
        <f>23715021.81+4963.6</f>
        <v>23719985.41</v>
      </c>
      <c r="J14" s="50">
        <f>1065313.77 + 9418.95999999344</f>
        <v>1074732.7299999935</v>
      </c>
      <c r="K14" s="50">
        <f>1315717.93+18904.8700000159</f>
        <v>1334622.8000000159</v>
      </c>
      <c r="L14" s="50">
        <f>1443954.77+10500.3199999928</f>
        <v>1454455.0899999929</v>
      </c>
      <c r="M14" s="50">
        <f>1410527.69+8947.89000000059</f>
        <v>1419475.5800000005</v>
      </c>
      <c r="N14" s="50">
        <f>1392111.38+18844.5</f>
        <v>1410955.88</v>
      </c>
      <c r="O14" s="50">
        <f>1083338.67+21061.4599999934</f>
        <v>1104400.1299999934</v>
      </c>
      <c r="P14" s="51">
        <v>1558541.9800000028</v>
      </c>
      <c r="Q14" s="51"/>
      <c r="R14" s="51" t="s">
        <v>18</v>
      </c>
      <c r="S14" s="99">
        <v>36401611.460000001</v>
      </c>
      <c r="T14" s="99">
        <f t="shared" si="1"/>
        <v>0</v>
      </c>
      <c r="U14" s="99">
        <v>21061.4599999934</v>
      </c>
    </row>
    <row r="15" spans="1:21" x14ac:dyDescent="0.2">
      <c r="A15" s="66" t="s">
        <v>52</v>
      </c>
      <c r="B15" s="130">
        <f>B6-C6</f>
        <v>226110908.44999909</v>
      </c>
      <c r="C15" s="67">
        <f>B15/$B$6</f>
        <v>0.17060264621098015</v>
      </c>
      <c r="D15" s="52" t="s">
        <v>19</v>
      </c>
      <c r="E15" s="65">
        <f t="shared" si="0"/>
        <v>70649818.129999921</v>
      </c>
      <c r="F15" s="50">
        <v>2459260.4699999653</v>
      </c>
      <c r="G15" s="50">
        <v>6304768.9399999185</v>
      </c>
      <c r="H15" s="50">
        <v>6721791.7899999144</v>
      </c>
      <c r="I15" s="50">
        <v>6719298.1699999161</v>
      </c>
      <c r="J15" s="50">
        <v>6680159.0899999151</v>
      </c>
      <c r="K15" s="50">
        <v>6782048.3999999026</v>
      </c>
      <c r="L15" s="50">
        <v>6698085.3399999151</v>
      </c>
      <c r="M15" s="50">
        <v>7429609.3299999181</v>
      </c>
      <c r="N15" s="50">
        <v>6654457.4299999196</v>
      </c>
      <c r="O15" s="50">
        <f>6875154.54999991+203957.50000082</f>
        <v>7079112.05000073</v>
      </c>
      <c r="P15" s="51">
        <v>7121227.1199999135</v>
      </c>
      <c r="Q15" s="51"/>
      <c r="R15" s="51" t="s">
        <v>19</v>
      </c>
      <c r="S15" s="99">
        <v>70649818.129999921</v>
      </c>
      <c r="T15" s="99">
        <f t="shared" si="1"/>
        <v>0</v>
      </c>
      <c r="U15" s="99">
        <v>203957.50000082</v>
      </c>
    </row>
    <row r="16" spans="1:21" x14ac:dyDescent="0.2">
      <c r="A16" s="66" t="s">
        <v>53</v>
      </c>
      <c r="B16" s="130">
        <f>C6</f>
        <v>1099254866.7700009</v>
      </c>
      <c r="C16" s="67">
        <f>B16/$B$6</f>
        <v>0.82939735378901991</v>
      </c>
      <c r="D16" s="52" t="s">
        <v>20</v>
      </c>
      <c r="E16" s="65">
        <f t="shared" si="0"/>
        <v>13183802.280000001</v>
      </c>
      <c r="F16" s="50">
        <f>817085.08-53607.0499999998</f>
        <v>763478.03000000014</v>
      </c>
      <c r="G16" s="50">
        <f>2710418.49-144659.630000001</f>
        <v>2565758.8599999994</v>
      </c>
      <c r="H16" s="50">
        <f>1214035.99+2641.18000000063</f>
        <v>1216677.1700000006</v>
      </c>
      <c r="I16" s="50">
        <v>997356.99999999977</v>
      </c>
      <c r="J16" s="50">
        <f>911581.85 + 13540.5299999993</f>
        <v>925122.37999999931</v>
      </c>
      <c r="K16" s="50">
        <v>1590055.7599999998</v>
      </c>
      <c r="L16" s="50">
        <v>868464.77999999956</v>
      </c>
      <c r="M16" s="50">
        <v>1054925.7899999998</v>
      </c>
      <c r="N16" s="50">
        <f>1244614.81+261.480000000447</f>
        <v>1244876.2900000005</v>
      </c>
      <c r="O16" s="50">
        <f>915613.89+1860.00000000186</f>
        <v>917473.89000000188</v>
      </c>
      <c r="P16" s="51">
        <v>1039612.3300000001</v>
      </c>
      <c r="Q16" s="51"/>
      <c r="R16" s="51" t="s">
        <v>20</v>
      </c>
      <c r="S16" s="99">
        <v>13183802.280000001</v>
      </c>
      <c r="T16" s="99">
        <f t="shared" si="1"/>
        <v>0</v>
      </c>
      <c r="U16" s="99">
        <v>1860.0000000018599</v>
      </c>
    </row>
    <row r="17" spans="1:21" x14ac:dyDescent="0.2">
      <c r="A17" s="52"/>
      <c r="B17" s="49"/>
      <c r="C17" s="52"/>
      <c r="D17" s="68" t="s">
        <v>54</v>
      </c>
      <c r="E17" s="65">
        <f t="shared" si="0"/>
        <v>112836345.52999997</v>
      </c>
      <c r="F17" s="50">
        <f>7467041.91999999-482448.149999987</f>
        <v>6984593.7700000023</v>
      </c>
      <c r="G17" s="50">
        <f>11959707.38+127672.980000019</f>
        <v>12087380.36000002</v>
      </c>
      <c r="H17" s="50">
        <f>9749684.37999997+91950.9500000179</f>
        <v>9841635.329999987</v>
      </c>
      <c r="I17" s="50">
        <f>9963184.68999994+28391.17</f>
        <v>9991575.8599999398</v>
      </c>
      <c r="J17" s="50">
        <f>9465743.70999995 -574874.75999999</f>
        <v>8890868.9499999601</v>
      </c>
      <c r="K17" s="50">
        <f>10573443.54-2503.97999988496</f>
        <v>10570939.560000114</v>
      </c>
      <c r="L17" s="50">
        <v>9527834.4399999771</v>
      </c>
      <c r="M17" s="50">
        <f>8930783.62999993+114441.120000079</f>
        <v>9045224.7500000093</v>
      </c>
      <c r="N17" s="50">
        <f>12768307.0699999+69345.8700000644</f>
        <v>12837652.939999964</v>
      </c>
      <c r="O17" s="50">
        <f>11340999.67+1240.0000000298</f>
        <v>11342239.67000003</v>
      </c>
      <c r="P17" s="51">
        <v>11716399.899999965</v>
      </c>
      <c r="Q17" s="51"/>
      <c r="R17" s="51" t="s">
        <v>54</v>
      </c>
      <c r="S17" s="99">
        <v>112836345.52999994</v>
      </c>
      <c r="T17" s="99">
        <f t="shared" si="1"/>
        <v>0</v>
      </c>
      <c r="U17" s="99">
        <v>1240.0000000298</v>
      </c>
    </row>
    <row r="18" spans="1:21" x14ac:dyDescent="0.2">
      <c r="B18" s="69"/>
      <c r="C18" s="52"/>
      <c r="D18" s="52" t="s">
        <v>21</v>
      </c>
      <c r="E18" s="65">
        <f t="shared" si="0"/>
        <v>57304588.440000005</v>
      </c>
      <c r="F18" s="50">
        <f>1831401.06-160712.99</f>
        <v>1670688.07</v>
      </c>
      <c r="G18" s="50">
        <f>1933177.85-4670.81999999843</f>
        <v>1928507.0300000017</v>
      </c>
      <c r="H18" s="50">
        <f>5047251.77+6097.30999999865</f>
        <v>5053349.0799999982</v>
      </c>
      <c r="I18" s="50">
        <f>5254602.81-2338.28</f>
        <v>5252264.5299999993</v>
      </c>
      <c r="J18" s="50">
        <f>6405332.17-6089.17999999225</f>
        <v>6399242.9900000077</v>
      </c>
      <c r="K18" s="50">
        <f>6839632.45-746.83999999985</f>
        <v>6838885.6100000003</v>
      </c>
      <c r="L18" s="50">
        <v>5120574.38</v>
      </c>
      <c r="M18" s="50">
        <f>6389568.62-2338.28000000864</f>
        <v>6387230.3399999915</v>
      </c>
      <c r="N18" s="50">
        <f>7114805.36+64665.3299999907</f>
        <v>7179470.6899999911</v>
      </c>
      <c r="O18" s="50">
        <f>5539021.5+620.000000022351</f>
        <v>5539641.5000000224</v>
      </c>
      <c r="P18" s="51">
        <v>5934734.2200000016</v>
      </c>
      <c r="Q18" s="51"/>
      <c r="R18" s="51" t="s">
        <v>21</v>
      </c>
      <c r="S18" s="99">
        <v>57304588.440000005</v>
      </c>
      <c r="T18" s="99">
        <f t="shared" si="1"/>
        <v>0</v>
      </c>
      <c r="U18" s="99">
        <v>620.00000002235095</v>
      </c>
    </row>
    <row r="19" spans="1:21" x14ac:dyDescent="0.2">
      <c r="A19" s="52"/>
      <c r="B19" s="49"/>
      <c r="C19" s="52"/>
      <c r="D19" s="52" t="s">
        <v>22</v>
      </c>
      <c r="E19" s="65">
        <f t="shared" si="0"/>
        <v>24958415.559999999</v>
      </c>
      <c r="F19" s="50">
        <f>2565201.92-11227.7600000025</f>
        <v>2553974.1599999974</v>
      </c>
      <c r="G19" s="50">
        <f>2054985.04-314096.689999999</f>
        <v>1740888.350000001</v>
      </c>
      <c r="H19" s="50">
        <f>2540314.96+119.990000003948</f>
        <v>2540434.9500000039</v>
      </c>
      <c r="I19" s="50">
        <f>2196393.6+619.78</f>
        <v>2197013.38</v>
      </c>
      <c r="J19" s="50">
        <f>1840180.69 -49024.5200000051</f>
        <v>1791156.1699999948</v>
      </c>
      <c r="K19" s="50">
        <f>2141341.5+10303.9800000023</f>
        <v>2151645.4800000023</v>
      </c>
      <c r="L19" s="50">
        <f>2721008.96+2753.75999999791</f>
        <v>2723762.7199999979</v>
      </c>
      <c r="M19" s="50">
        <f>2366405.39+75346.159999989</f>
        <v>2441751.5499999891</v>
      </c>
      <c r="N19" s="50">
        <f>2447444.98+9400.18000000715</f>
        <v>2456845.1600000071</v>
      </c>
      <c r="O19" s="50">
        <f>2025533.9+14850.0000000037</f>
        <v>2040383.9000000036</v>
      </c>
      <c r="P19" s="51">
        <v>2320559.7400000016</v>
      </c>
      <c r="Q19" s="51"/>
      <c r="R19" s="51" t="s">
        <v>22</v>
      </c>
      <c r="S19" s="99">
        <v>24958415.560000002</v>
      </c>
      <c r="T19" s="99">
        <f t="shared" si="1"/>
        <v>0</v>
      </c>
      <c r="U19" s="99">
        <v>14850.000000003725</v>
      </c>
    </row>
    <row r="20" spans="1:21" x14ac:dyDescent="0.2">
      <c r="A20" s="52"/>
      <c r="B20" s="49"/>
      <c r="C20" s="52"/>
      <c r="D20" s="52" t="s">
        <v>23</v>
      </c>
      <c r="E20" s="65">
        <f t="shared" si="0"/>
        <v>1042364.9999999998</v>
      </c>
      <c r="F20" s="50">
        <v>6534.65</v>
      </c>
      <c r="G20" s="50">
        <v>38103.199999999997</v>
      </c>
      <c r="H20" s="50">
        <v>115769.70000000001</v>
      </c>
      <c r="I20" s="50">
        <v>102312.44</v>
      </c>
      <c r="J20" s="50">
        <v>122293.98000000001</v>
      </c>
      <c r="K20" s="50">
        <v>99612.91</v>
      </c>
      <c r="L20" s="50">
        <v>60079.009999999995</v>
      </c>
      <c r="M20" s="50">
        <v>151061.89000000001</v>
      </c>
      <c r="N20" s="50">
        <v>103347.70000000001</v>
      </c>
      <c r="O20" s="50">
        <f>111536.35-15.0000000002328</f>
        <v>111521.34999999977</v>
      </c>
      <c r="P20" s="51">
        <v>131728.16999999998</v>
      </c>
      <c r="Q20" s="51"/>
      <c r="R20" s="51" t="s">
        <v>23</v>
      </c>
      <c r="S20" s="99">
        <v>1042364.9999999998</v>
      </c>
      <c r="T20" s="99">
        <f t="shared" si="1"/>
        <v>0</v>
      </c>
      <c r="U20" s="99">
        <v>-15.0000000002328</v>
      </c>
    </row>
    <row r="21" spans="1:21" x14ac:dyDescent="0.2">
      <c r="A21" s="52"/>
      <c r="B21" s="49"/>
      <c r="C21" s="52"/>
      <c r="D21" s="52" t="s">
        <v>29</v>
      </c>
      <c r="E21" s="65">
        <f t="shared" si="0"/>
        <v>879557.13999999908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f>96690.9-9478.5</f>
        <v>87212.4</v>
      </c>
      <c r="L21" s="50">
        <f>1672.4-625.900000000139</f>
        <v>1046.4999999998611</v>
      </c>
      <c r="M21" s="50">
        <f>654279.78-62532.6400000007</f>
        <v>591747.13999999932</v>
      </c>
      <c r="N21" s="50">
        <v>1076.5</v>
      </c>
      <c r="O21" s="50">
        <v>0</v>
      </c>
      <c r="P21" s="51">
        <v>198474.59999999998</v>
      </c>
      <c r="Q21" s="51"/>
      <c r="R21" s="51" t="s">
        <v>29</v>
      </c>
      <c r="S21" s="99">
        <v>879557.1399999992</v>
      </c>
      <c r="T21" s="99">
        <f t="shared" si="1"/>
        <v>0</v>
      </c>
      <c r="U21" s="99">
        <v>0</v>
      </c>
    </row>
    <row r="22" spans="1:21" x14ac:dyDescent="0.2">
      <c r="A22" s="52"/>
      <c r="B22" s="49"/>
      <c r="C22" s="52"/>
      <c r="D22" s="52" t="s">
        <v>30</v>
      </c>
      <c r="E22" s="65">
        <f t="shared" si="0"/>
        <v>4588.75</v>
      </c>
      <c r="F22" s="50">
        <v>0</v>
      </c>
      <c r="G22" s="50">
        <v>0</v>
      </c>
      <c r="H22" s="50">
        <v>0</v>
      </c>
      <c r="I22" s="50">
        <v>420</v>
      </c>
      <c r="J22" s="50">
        <v>2543.75</v>
      </c>
      <c r="K22" s="50">
        <v>0</v>
      </c>
      <c r="L22" s="50">
        <v>0</v>
      </c>
      <c r="M22" s="50">
        <v>1625</v>
      </c>
      <c r="N22" s="50">
        <v>0</v>
      </c>
      <c r="O22" s="50">
        <v>0</v>
      </c>
      <c r="P22" s="51">
        <v>0</v>
      </c>
      <c r="Q22" s="51"/>
      <c r="R22" s="51" t="s">
        <v>30</v>
      </c>
      <c r="S22" s="99">
        <v>4588.75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25</v>
      </c>
      <c r="E23" s="65">
        <f t="shared" si="0"/>
        <v>420000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1">
        <v>420000</v>
      </c>
      <c r="Q23" s="51"/>
      <c r="R23" s="51" t="s">
        <v>25</v>
      </c>
      <c r="S23" s="99">
        <v>420000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24</v>
      </c>
      <c r="E24" s="65">
        <f t="shared" si="0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1">
        <v>0</v>
      </c>
      <c r="Q24" s="51"/>
      <c r="R24" s="51" t="s">
        <v>24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55</v>
      </c>
      <c r="E25" s="71">
        <f>SUM(E9:E24)</f>
        <v>1099254866.7700009</v>
      </c>
      <c r="F25" s="72">
        <f t="shared" ref="F25:Q25" si="2">SUM(F9:F24)</f>
        <v>26210013.069999952</v>
      </c>
      <c r="G25" s="72">
        <f t="shared" si="2"/>
        <v>41516274.959999844</v>
      </c>
      <c r="H25" s="72">
        <f t="shared" si="2"/>
        <v>106138015.66999985</v>
      </c>
      <c r="I25" s="72">
        <f t="shared" si="2"/>
        <v>129626681.96000127</v>
      </c>
      <c r="J25" s="72">
        <f t="shared" si="2"/>
        <v>109452845.67000102</v>
      </c>
      <c r="K25" s="72">
        <f t="shared" si="2"/>
        <v>111191917.34999824</v>
      </c>
      <c r="L25" s="72">
        <f t="shared" si="2"/>
        <v>106363956.16000237</v>
      </c>
      <c r="M25" s="72">
        <f t="shared" si="2"/>
        <v>124784680.79999778</v>
      </c>
      <c r="N25" s="72">
        <f t="shared" si="2"/>
        <v>111389107.71000208</v>
      </c>
      <c r="O25" s="72">
        <f t="shared" si="2"/>
        <v>114515726.82999709</v>
      </c>
      <c r="P25" s="72">
        <f t="shared" si="2"/>
        <v>118065646.59000157</v>
      </c>
      <c r="Q25" s="72">
        <f t="shared" si="2"/>
        <v>0</v>
      </c>
      <c r="S25" s="127">
        <v>0</v>
      </c>
      <c r="T25" s="127">
        <f t="shared" ref="T25:U25" si="3">SUM(T9:T24)</f>
        <v>0</v>
      </c>
      <c r="U25" s="127">
        <f t="shared" si="3"/>
        <v>3760261.7599954987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77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$1,099,254,867</v>
      </c>
      <c r="C29" s="162"/>
      <c r="D29" s="162"/>
      <c r="E29" s="162"/>
      <c r="F29" s="162"/>
      <c r="G29" s="73"/>
      <c r="H29" s="131" t="s">
        <v>78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56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57</v>
      </c>
      <c r="C39" s="79" t="s">
        <v>58</v>
      </c>
      <c r="D39" s="80" t="s">
        <v>59</v>
      </c>
      <c r="E39" s="81" t="s">
        <v>40</v>
      </c>
      <c r="F39" s="82" t="s">
        <v>41</v>
      </c>
      <c r="G39" s="82" t="s">
        <v>42</v>
      </c>
      <c r="H39" s="82" t="s">
        <v>43</v>
      </c>
      <c r="I39" s="82" t="s">
        <v>44</v>
      </c>
      <c r="J39" s="82" t="s">
        <v>45</v>
      </c>
      <c r="K39" s="82" t="s">
        <v>46</v>
      </c>
      <c r="L39" s="82" t="s">
        <v>47</v>
      </c>
      <c r="M39" s="82" t="s">
        <v>48</v>
      </c>
      <c r="N39" s="82" t="s">
        <v>49</v>
      </c>
      <c r="O39" s="82" t="s">
        <v>50</v>
      </c>
      <c r="P39" s="83" t="s">
        <v>51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800559106.48000002</v>
      </c>
      <c r="C40" s="86">
        <f>SUM(E40:P40)</f>
        <v>786704692.24000001</v>
      </c>
      <c r="D40" s="87">
        <f>C40/B40</f>
        <v>0.98269407701710265</v>
      </c>
      <c r="E40" s="134">
        <v>283416.8200000003</v>
      </c>
      <c r="F40" s="134">
        <v>23622403.879999999</v>
      </c>
      <c r="G40" s="134">
        <v>232065648.81</v>
      </c>
      <c r="H40" s="134">
        <v>175157418.03</v>
      </c>
      <c r="I40" s="134">
        <f>252258921.69 -2408354.35000002</f>
        <v>249850567.33999997</v>
      </c>
      <c r="J40" s="134">
        <v>54090759.909999996</v>
      </c>
      <c r="K40" s="134">
        <v>15141582.530000001</v>
      </c>
      <c r="L40" s="134">
        <v>7855291.2700000005</v>
      </c>
      <c r="M40" s="134">
        <f>13849974.87+190657.920000196</f>
        <v>14040632.790000195</v>
      </c>
      <c r="N40" s="134">
        <v>8157995.29</v>
      </c>
      <c r="O40" s="134">
        <v>6438975.5700000003</v>
      </c>
      <c r="P40" s="134"/>
      <c r="R40" s="141"/>
      <c r="S40" s="147">
        <v>786704692.24000001</v>
      </c>
      <c r="T40" s="133">
        <f>S40-C40</f>
        <v>0</v>
      </c>
      <c r="U40" s="133">
        <v>0</v>
      </c>
    </row>
    <row r="41" spans="1:21" s="84" customFormat="1" x14ac:dyDescent="0.2">
      <c r="A41" s="84" t="s">
        <v>9</v>
      </c>
      <c r="B41" s="88">
        <v>90000</v>
      </c>
      <c r="C41" s="89">
        <f>SUM(E41:P41)</f>
        <v>12755848.699999999</v>
      </c>
      <c r="D41" s="90">
        <f>C41/B41</f>
        <v>141.73165222222221</v>
      </c>
      <c r="E41" s="135">
        <v>186624.72</v>
      </c>
      <c r="F41" s="135">
        <v>225298.27</v>
      </c>
      <c r="G41" s="135">
        <v>278710.13</v>
      </c>
      <c r="H41" s="135">
        <v>614426.56999999995</v>
      </c>
      <c r="I41" s="135">
        <f>446568.35 + 635413.3</f>
        <v>1081981.6499999999</v>
      </c>
      <c r="J41" s="135">
        <v>1560074.4</v>
      </c>
      <c r="K41" s="135">
        <v>1722581.35</v>
      </c>
      <c r="L41" s="135">
        <v>1798555.78</v>
      </c>
      <c r="M41" s="135">
        <v>1896424.91</v>
      </c>
      <c r="N41" s="135">
        <v>1759770.02</v>
      </c>
      <c r="O41" s="135">
        <v>1631400.9</v>
      </c>
      <c r="P41" s="135"/>
      <c r="R41" s="141"/>
      <c r="S41" s="147">
        <v>12755848.699999999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503441425.62</v>
      </c>
      <c r="C42" s="89">
        <f>SUM(E42:P42)</f>
        <v>465535811.83999997</v>
      </c>
      <c r="D42" s="90">
        <f>C42/B42</f>
        <v>0.92470700293819008</v>
      </c>
      <c r="E42" s="135">
        <v>5367835.4800000004</v>
      </c>
      <c r="F42" s="135">
        <f>5752262.79+40986.0000000074</f>
        <v>5793248.7900000075</v>
      </c>
      <c r="G42" s="135">
        <v>48556637</v>
      </c>
      <c r="H42" s="135">
        <v>48732788</v>
      </c>
      <c r="I42" s="135">
        <f>48714026 -38067.0000000298</f>
        <v>48675958.99999997</v>
      </c>
      <c r="J42" s="135">
        <v>48675959</v>
      </c>
      <c r="K42" s="135">
        <v>48863713.230000004</v>
      </c>
      <c r="L42" s="135">
        <v>48691038.280000001</v>
      </c>
      <c r="M42" s="135">
        <v>49519466.850000001</v>
      </c>
      <c r="N42" s="135">
        <v>56068717</v>
      </c>
      <c r="O42" s="135">
        <v>56590449.210000001</v>
      </c>
      <c r="P42" s="135"/>
      <c r="R42" s="141"/>
      <c r="S42" s="147">
        <v>465535811.84000003</v>
      </c>
      <c r="T42" s="133">
        <f t="shared" si="4"/>
        <v>0</v>
      </c>
      <c r="U42" s="133">
        <v>0</v>
      </c>
    </row>
    <row r="43" spans="1:21" s="84" customFormat="1" ht="13.5" thickBot="1" x14ac:dyDescent="0.25">
      <c r="A43" s="84" t="s">
        <v>11</v>
      </c>
      <c r="B43" s="91">
        <v>1448256</v>
      </c>
      <c r="C43" s="89">
        <f>SUM(E43:P43)</f>
        <v>9749.380000000001</v>
      </c>
      <c r="D43" s="92">
        <f>C43/B43</f>
        <v>6.7318070838304836E-3</v>
      </c>
      <c r="E43" s="136">
        <v>0</v>
      </c>
      <c r="F43" s="136">
        <v>9801</v>
      </c>
      <c r="G43" s="136">
        <v>0</v>
      </c>
      <c r="H43" s="136">
        <v>0</v>
      </c>
      <c r="I43" s="136">
        <v>0</v>
      </c>
      <c r="J43" s="136">
        <v>1091.3800000000001</v>
      </c>
      <c r="K43" s="136">
        <v>-1143</v>
      </c>
      <c r="L43" s="136">
        <v>0</v>
      </c>
      <c r="M43" s="136">
        <v>0</v>
      </c>
      <c r="N43" s="136">
        <v>0</v>
      </c>
      <c r="O43" s="136">
        <v>0</v>
      </c>
      <c r="P43" s="136"/>
      <c r="R43" s="142"/>
      <c r="S43" s="147">
        <v>9749.3799999999992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1305538788.0999999</v>
      </c>
      <c r="C44" s="95">
        <f>SUM(C40:C43)</f>
        <v>1265006102.1600001</v>
      </c>
      <c r="D44" s="96">
        <f>C44/B44</f>
        <v>0.96895328862730412</v>
      </c>
      <c r="E44" s="97">
        <f>SUM(E40:E43)</f>
        <v>5837877.0200000005</v>
      </c>
      <c r="F44" s="98">
        <f t="shared" ref="F44:P44" si="5">SUM(F40:F43)</f>
        <v>29650751.940000005</v>
      </c>
      <c r="G44" s="98">
        <f t="shared" si="5"/>
        <v>280900995.94</v>
      </c>
      <c r="H44" s="98">
        <f t="shared" si="5"/>
        <v>224504632.59999999</v>
      </c>
      <c r="I44" s="98">
        <f t="shared" si="5"/>
        <v>299608507.98999995</v>
      </c>
      <c r="J44" s="98">
        <f t="shared" si="5"/>
        <v>104327884.69</v>
      </c>
      <c r="K44" s="98">
        <f t="shared" si="5"/>
        <v>65726734.110000007</v>
      </c>
      <c r="L44" s="98">
        <f t="shared" si="5"/>
        <v>58344885.329999998</v>
      </c>
      <c r="M44" s="98">
        <f t="shared" si="5"/>
        <v>65456524.550000198</v>
      </c>
      <c r="N44" s="98">
        <f t="shared" si="5"/>
        <v>65986482.310000002</v>
      </c>
      <c r="O44" s="98">
        <f t="shared" si="5"/>
        <v>64660825.68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60</v>
      </c>
      <c r="B46" s="101">
        <f>+B40+B41+B43</f>
        <v>802097362.48000002</v>
      </c>
      <c r="C46" s="86">
        <f>+C40+C41+C43</f>
        <v>799470290.32000005</v>
      </c>
      <c r="D46" s="102">
        <f>C46/B46</f>
        <v>0.99672474654214382</v>
      </c>
      <c r="E46" s="103">
        <f>+E40+E41+E43</f>
        <v>470041.54000000027</v>
      </c>
      <c r="F46" s="103">
        <f t="shared" ref="F46:P46" si="6">+F40+F41+F43</f>
        <v>23857503.149999999</v>
      </c>
      <c r="G46" s="103">
        <f t="shared" si="6"/>
        <v>232344358.94</v>
      </c>
      <c r="H46" s="103">
        <f t="shared" si="6"/>
        <v>175771844.59999999</v>
      </c>
      <c r="I46" s="103">
        <f t="shared" si="6"/>
        <v>250932548.98999998</v>
      </c>
      <c r="J46" s="103">
        <f t="shared" si="6"/>
        <v>55651925.689999998</v>
      </c>
      <c r="K46" s="103">
        <f t="shared" si="6"/>
        <v>16863020.880000003</v>
      </c>
      <c r="L46" s="103">
        <f t="shared" si="6"/>
        <v>9653847.0500000007</v>
      </c>
      <c r="M46" s="103">
        <f t="shared" si="6"/>
        <v>15937057.700000195</v>
      </c>
      <c r="N46" s="103">
        <f t="shared" si="6"/>
        <v>9917765.3100000005</v>
      </c>
      <c r="O46" s="103">
        <f t="shared" si="6"/>
        <v>8070376.4700000007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61</v>
      </c>
      <c r="B47" s="104">
        <f>B42</f>
        <v>503441425.62</v>
      </c>
      <c r="C47" s="105">
        <f>C71</f>
        <v>465535811.83999997</v>
      </c>
      <c r="D47" s="106">
        <f>C47/B47</f>
        <v>0.92470700293819008</v>
      </c>
      <c r="E47" s="107">
        <f>E42</f>
        <v>5367835.4800000004</v>
      </c>
      <c r="F47" s="107">
        <f t="shared" ref="F47:P47" si="7">F42</f>
        <v>5793248.7900000075</v>
      </c>
      <c r="G47" s="107">
        <f t="shared" si="7"/>
        <v>48556637</v>
      </c>
      <c r="H47" s="107">
        <f t="shared" si="7"/>
        <v>48732788</v>
      </c>
      <c r="I47" s="107">
        <f t="shared" si="7"/>
        <v>48675958.99999997</v>
      </c>
      <c r="J47" s="107">
        <f t="shared" si="7"/>
        <v>48675959</v>
      </c>
      <c r="K47" s="107">
        <f t="shared" si="7"/>
        <v>48863713.230000004</v>
      </c>
      <c r="L47" s="107">
        <f t="shared" si="7"/>
        <v>48691038.280000001</v>
      </c>
      <c r="M47" s="107">
        <f t="shared" si="7"/>
        <v>49519466.850000001</v>
      </c>
      <c r="N47" s="107">
        <f t="shared" si="7"/>
        <v>56068717</v>
      </c>
      <c r="O47" s="107">
        <f t="shared" si="7"/>
        <v>56590449.210000001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1305538788.0999999</v>
      </c>
      <c r="C48" s="108">
        <f>SUM(E48:P48)</f>
        <v>1265006102.1600003</v>
      </c>
      <c r="D48" s="109">
        <f>C48/B48</f>
        <v>0.96895328862730434</v>
      </c>
      <c r="E48" s="110">
        <f>+E46+E47</f>
        <v>5837877.0200000005</v>
      </c>
      <c r="F48" s="111">
        <f t="shared" ref="F48:P48" si="8">+F46+F47</f>
        <v>29650751.940000005</v>
      </c>
      <c r="G48" s="111">
        <f t="shared" si="8"/>
        <v>280900995.94</v>
      </c>
      <c r="H48" s="111">
        <f t="shared" si="8"/>
        <v>224504632.59999999</v>
      </c>
      <c r="I48" s="111">
        <f t="shared" si="8"/>
        <v>299608507.98999995</v>
      </c>
      <c r="J48" s="111">
        <f t="shared" si="8"/>
        <v>104327884.69</v>
      </c>
      <c r="K48" s="111">
        <f t="shared" si="8"/>
        <v>65726734.110000007</v>
      </c>
      <c r="L48" s="111">
        <f t="shared" si="8"/>
        <v>58344885.329999998</v>
      </c>
      <c r="M48" s="111">
        <f t="shared" si="8"/>
        <v>65456524.550000198</v>
      </c>
      <c r="N48" s="111">
        <f t="shared" si="8"/>
        <v>65986482.310000002</v>
      </c>
      <c r="O48" s="111">
        <f t="shared" si="8"/>
        <v>64660825.68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62</v>
      </c>
      <c r="D50" s="156"/>
      <c r="E50" s="113" t="s">
        <v>40</v>
      </c>
      <c r="F50" s="114" t="s">
        <v>41</v>
      </c>
      <c r="G50" s="114" t="s">
        <v>42</v>
      </c>
      <c r="H50" s="114" t="s">
        <v>43</v>
      </c>
      <c r="I50" s="114" t="s">
        <v>44</v>
      </c>
      <c r="J50" s="114" t="s">
        <v>45</v>
      </c>
      <c r="K50" s="114" t="s">
        <v>46</v>
      </c>
      <c r="L50" s="114" t="s">
        <v>47</v>
      </c>
      <c r="M50" s="114" t="s">
        <v>48</v>
      </c>
      <c r="N50" s="114" t="s">
        <v>49</v>
      </c>
      <c r="O50" s="114" t="s">
        <v>50</v>
      </c>
      <c r="P50" s="54" t="s">
        <v>51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60</v>
      </c>
      <c r="D51" s="51"/>
      <c r="E51" s="50">
        <f>E46</f>
        <v>470041.54000000027</v>
      </c>
      <c r="F51" s="50">
        <f>E51+F46</f>
        <v>24327544.689999998</v>
      </c>
      <c r="G51" s="50">
        <f t="shared" ref="G51:P52" si="9">F51+G46</f>
        <v>256671903.63</v>
      </c>
      <c r="H51" s="50">
        <f t="shared" si="9"/>
        <v>432443748.23000002</v>
      </c>
      <c r="I51" s="50">
        <f t="shared" si="9"/>
        <v>683376297.22000003</v>
      </c>
      <c r="J51" s="50">
        <f t="shared" si="9"/>
        <v>739028222.91000009</v>
      </c>
      <c r="K51" s="50">
        <f t="shared" si="9"/>
        <v>755891243.79000008</v>
      </c>
      <c r="L51" s="50">
        <f t="shared" si="9"/>
        <v>765545090.84000003</v>
      </c>
      <c r="M51" s="50">
        <f t="shared" si="9"/>
        <v>781482148.5400002</v>
      </c>
      <c r="N51" s="50">
        <f t="shared" si="9"/>
        <v>791399913.85000014</v>
      </c>
      <c r="O51" s="50">
        <f t="shared" si="9"/>
        <v>799470290.32000017</v>
      </c>
      <c r="P51" s="50">
        <f t="shared" si="9"/>
        <v>799470290.32000017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61</v>
      </c>
      <c r="D52" s="51"/>
      <c r="E52" s="50">
        <f>E47</f>
        <v>5367835.4800000004</v>
      </c>
      <c r="F52" s="50">
        <f>E52+F47</f>
        <v>11161084.270000007</v>
      </c>
      <c r="G52" s="50">
        <f t="shared" si="9"/>
        <v>59717721.270000011</v>
      </c>
      <c r="H52" s="50">
        <f t="shared" si="9"/>
        <v>108450509.27000001</v>
      </c>
      <c r="I52" s="50">
        <f t="shared" si="9"/>
        <v>157126468.26999998</v>
      </c>
      <c r="J52" s="50">
        <f t="shared" si="9"/>
        <v>205802427.26999998</v>
      </c>
      <c r="K52" s="50">
        <f t="shared" si="9"/>
        <v>254666140.5</v>
      </c>
      <c r="L52" s="50">
        <f t="shared" si="9"/>
        <v>303357178.77999997</v>
      </c>
      <c r="M52" s="50">
        <f t="shared" si="9"/>
        <v>352876645.63</v>
      </c>
      <c r="N52" s="50">
        <f t="shared" si="9"/>
        <v>408945362.63</v>
      </c>
      <c r="O52" s="50">
        <f t="shared" si="9"/>
        <v>465535811.83999997</v>
      </c>
      <c r="P52" s="50">
        <f t="shared" si="9"/>
        <v>465535811.83999997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63</v>
      </c>
      <c r="D53" s="51"/>
      <c r="E53" s="117">
        <f>+E51+E52</f>
        <v>5837877.0200000005</v>
      </c>
      <c r="F53" s="117">
        <f t="shared" ref="F53:P53" si="10">+F51+F52</f>
        <v>35488628.960000008</v>
      </c>
      <c r="G53" s="117">
        <f t="shared" si="10"/>
        <v>316389624.89999998</v>
      </c>
      <c r="H53" s="117">
        <f t="shared" si="10"/>
        <v>540894257.5</v>
      </c>
      <c r="I53" s="117">
        <f t="shared" si="10"/>
        <v>840502765.49000001</v>
      </c>
      <c r="J53" s="117">
        <f t="shared" si="10"/>
        <v>944830650.18000007</v>
      </c>
      <c r="K53" s="117">
        <f t="shared" si="10"/>
        <v>1010557384.2900001</v>
      </c>
      <c r="L53" s="117">
        <f t="shared" si="10"/>
        <v>1068902269.62</v>
      </c>
      <c r="M53" s="117">
        <f t="shared" si="10"/>
        <v>1134358794.1700001</v>
      </c>
      <c r="N53" s="117">
        <f t="shared" si="10"/>
        <v>1200345276.48</v>
      </c>
      <c r="O53" s="117">
        <f t="shared" si="10"/>
        <v>1265006102.1600001</v>
      </c>
      <c r="P53" s="117">
        <f t="shared" si="10"/>
        <v>1265006102.1600001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$802,097,362  Actual: $799,470,290  99.67%
(STATE)  Budgeted: $503,441,426  Actual: $465,535,812   92.47%
TOTAL Budgeted: $1,305,538,788  Actual: $1,265,006,102   96.90%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79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$503,441,426	Actual: $465,535,812   92.47%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$1,305,538,788	Actual: $1,265,006,102   96.90%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32</v>
      </c>
      <c r="B60" s="122" t="s">
        <v>33</v>
      </c>
      <c r="P60" s="51"/>
      <c r="Q60" s="51"/>
      <c r="R60" s="51"/>
    </row>
    <row r="61" spans="1:21" s="99" customFormat="1" x14ac:dyDescent="0.2">
      <c r="A61" s="123" t="s">
        <v>8</v>
      </c>
      <c r="B61" s="124">
        <v>800559106.48000002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503441425.62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1448256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64</v>
      </c>
      <c r="B65" s="128">
        <f>SUM(B61:B64)</f>
        <v>1305538788.0999999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66</v>
      </c>
      <c r="C68" s="129" t="s">
        <v>65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800559106.48000002</v>
      </c>
      <c r="C69" s="50">
        <v>786704692.24000001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</v>
      </c>
      <c r="C70" s="50">
        <v>12755848.699999999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503441425.62</v>
      </c>
      <c r="C71" s="50">
        <v>465535811.83999997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1448256</v>
      </c>
      <c r="C72" s="50">
        <v>9749.380000000001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68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45077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30993942.549999997</v>
      </c>
      <c r="C8" s="7">
        <v>31612326.549999997</v>
      </c>
      <c r="D8" s="7">
        <v>3122499.08</v>
      </c>
      <c r="E8" s="7">
        <v>29444855.5</v>
      </c>
      <c r="F8" s="7">
        <v>0</v>
      </c>
      <c r="G8" s="7">
        <f t="shared" ref="G8:G12" si="0">SUM(E8:F8)</f>
        <v>29444855.5</v>
      </c>
      <c r="H8" s="7">
        <f t="shared" ref="H8:H12" si="1">C8-G8</f>
        <v>2167471.049999997</v>
      </c>
      <c r="I8" s="16">
        <f>IF(C8=0,"",H8/C8)</f>
        <v>6.8564110476708878E-2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1235.96</v>
      </c>
      <c r="E9" s="7">
        <v>9464.9699999999993</v>
      </c>
      <c r="F9" s="7">
        <v>0</v>
      </c>
      <c r="G9" s="7">
        <f t="shared" si="0"/>
        <v>9464.9699999999993</v>
      </c>
      <c r="H9" s="7">
        <f t="shared" si="1"/>
        <v>-9464.9699999999993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15490840.710000001</v>
      </c>
      <c r="C10" s="7">
        <v>15251406.710000001</v>
      </c>
      <c r="D10" s="7">
        <v>2607612.5299999998</v>
      </c>
      <c r="E10" s="7">
        <v>15590938.77</v>
      </c>
      <c r="F10" s="7">
        <v>0</v>
      </c>
      <c r="G10" s="7">
        <f t="shared" si="0"/>
        <v>15590938.77</v>
      </c>
      <c r="H10" s="7">
        <f t="shared" si="1"/>
        <v>-339532.05999999866</v>
      </c>
      <c r="I10" s="16">
        <f t="shared" si="2"/>
        <v>-2.226234382546334E-2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83</v>
      </c>
      <c r="B11" s="7">
        <v>428232611.45999998</v>
      </c>
      <c r="C11" s="7">
        <v>671033565.41000009</v>
      </c>
      <c r="D11" s="7">
        <v>5384615.6600000001</v>
      </c>
      <c r="E11" s="7">
        <v>145290328.16999999</v>
      </c>
      <c r="F11" s="7">
        <v>0</v>
      </c>
      <c r="G11" s="7">
        <f t="shared" si="0"/>
        <v>145290328.16999999</v>
      </c>
      <c r="H11" s="7">
        <f t="shared" si="1"/>
        <v>525743237.24000013</v>
      </c>
      <c r="I11" s="16">
        <f t="shared" si="2"/>
        <v>0.78348277096805452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4445423</v>
      </c>
      <c r="C12" s="7">
        <v>4446128</v>
      </c>
      <c r="D12" s="7">
        <v>523255.15</v>
      </c>
      <c r="E12" s="7">
        <v>1021096.82</v>
      </c>
      <c r="F12" s="7">
        <v>0</v>
      </c>
      <c r="G12" s="7">
        <f t="shared" si="0"/>
        <v>1021096.82</v>
      </c>
      <c r="H12" s="7">
        <f t="shared" si="1"/>
        <v>3425031.18</v>
      </c>
      <c r="I12" s="16">
        <f t="shared" si="2"/>
        <v>0.77034021062821412</v>
      </c>
      <c r="K12" s="148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479162817.71999997</v>
      </c>
      <c r="C13" s="11">
        <f t="shared" ref="C13:H13" si="3">SUM(C8:C12)</f>
        <v>722343426.67000008</v>
      </c>
      <c r="D13" s="11">
        <f t="shared" si="3"/>
        <v>11639218.380000001</v>
      </c>
      <c r="E13" s="11">
        <f t="shared" si="3"/>
        <v>191356684.22999996</v>
      </c>
      <c r="F13" s="11">
        <f t="shared" si="3"/>
        <v>0</v>
      </c>
      <c r="G13" s="11">
        <f t="shared" si="3"/>
        <v>191356684.22999996</v>
      </c>
      <c r="H13" s="11">
        <f t="shared" si="3"/>
        <v>530986742.44000012</v>
      </c>
      <c r="I13" s="36">
        <f>IF(C13=0,"",H13/C13)</f>
        <v>0.7350890488307571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122237672.85000002</v>
      </c>
      <c r="C14" s="13">
        <v>262636262.34999996</v>
      </c>
      <c r="D14" s="13">
        <v>5209104.9700000109</v>
      </c>
      <c r="E14" s="13">
        <v>48254211.940000057</v>
      </c>
      <c r="F14" s="13">
        <v>8762756.4899999928</v>
      </c>
      <c r="G14" s="13">
        <f t="shared" ref="G14:G31" si="4">SUM(E14:F14)</f>
        <v>57016968.430000052</v>
      </c>
      <c r="H14" s="13">
        <f t="shared" ref="H14:H31" si="5">C14-G14</f>
        <v>205619293.9199999</v>
      </c>
      <c r="I14" s="26">
        <f t="shared" ref="I14:I31" si="6">IF(C14=0,"",H14/C14)</f>
        <v>0.7829051939750159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46476820.239999995</v>
      </c>
      <c r="C15" s="7">
        <v>46471186.669999972</v>
      </c>
      <c r="D15" s="7">
        <v>2264858.0300000017</v>
      </c>
      <c r="E15" s="7">
        <v>19109549.600000009</v>
      </c>
      <c r="F15" s="7">
        <v>2652568.1599999992</v>
      </c>
      <c r="G15" s="7">
        <f t="shared" si="4"/>
        <v>21762117.760000009</v>
      </c>
      <c r="H15" s="7">
        <f t="shared" si="5"/>
        <v>24709068.909999963</v>
      </c>
      <c r="I15" s="16">
        <f t="shared" si="6"/>
        <v>0.53170729392953497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28698630.420000002</v>
      </c>
      <c r="C16" s="7">
        <v>5716332.299999998</v>
      </c>
      <c r="D16" s="7">
        <v>143433.22999999998</v>
      </c>
      <c r="E16" s="7">
        <v>3123959.3200000008</v>
      </c>
      <c r="F16" s="7">
        <v>153983.26000000004</v>
      </c>
      <c r="G16" s="7">
        <f t="shared" si="4"/>
        <v>3277942.580000001</v>
      </c>
      <c r="H16" s="7">
        <f t="shared" si="5"/>
        <v>2438389.7199999969</v>
      </c>
      <c r="I16" s="16">
        <f t="shared" si="6"/>
        <v>0.42656542552643378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47270868.820000023</v>
      </c>
      <c r="C17" s="7">
        <v>61856764.890000053</v>
      </c>
      <c r="D17" s="7">
        <v>1986602.8900000041</v>
      </c>
      <c r="E17" s="7">
        <v>18624870.070000004</v>
      </c>
      <c r="F17" s="7">
        <v>338092.74000000005</v>
      </c>
      <c r="G17" s="7">
        <f t="shared" si="4"/>
        <v>18962962.810000002</v>
      </c>
      <c r="H17" s="7">
        <f t="shared" si="5"/>
        <v>42893802.08000005</v>
      </c>
      <c r="I17" s="16">
        <f t="shared" si="6"/>
        <v>0.69343752710440232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2893575</v>
      </c>
      <c r="C18" s="7">
        <v>3175673.74</v>
      </c>
      <c r="D18" s="7">
        <v>10397.400000000001</v>
      </c>
      <c r="E18" s="7">
        <v>45014.75</v>
      </c>
      <c r="F18" s="7">
        <v>47970.740000000005</v>
      </c>
      <c r="G18" s="7">
        <f t="shared" si="4"/>
        <v>92985.49</v>
      </c>
      <c r="H18" s="7">
        <f t="shared" si="5"/>
        <v>3082688.25</v>
      </c>
      <c r="I18" s="16">
        <f t="shared" si="6"/>
        <v>0.97071944487597139</v>
      </c>
      <c r="L18" s="138"/>
      <c r="M18" s="138"/>
      <c r="N18" s="138"/>
      <c r="O18" s="138"/>
      <c r="P18" s="138"/>
    </row>
    <row r="19" spans="1:19" s="5" customFormat="1" x14ac:dyDescent="0.2">
      <c r="A19" s="6" t="s">
        <v>80</v>
      </c>
      <c r="B19" s="7">
        <v>-1313778.94</v>
      </c>
      <c r="C19" s="7">
        <v>8233336.4900000021</v>
      </c>
      <c r="D19" s="7">
        <v>344325.30000000005</v>
      </c>
      <c r="E19" s="7">
        <v>3837013.8999999994</v>
      </c>
      <c r="F19" s="7">
        <v>64251.03</v>
      </c>
      <c r="G19" s="7">
        <f>SUM(E19:F19)</f>
        <v>3901264.9299999992</v>
      </c>
      <c r="H19" s="7">
        <f>C19-G19</f>
        <v>4332071.5600000024</v>
      </c>
      <c r="I19" s="16">
        <f>IF(C19=0,"",H19/C19)</f>
        <v>0.52616233592075634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52410582.200000003</v>
      </c>
      <c r="C20" s="7">
        <v>50384021.010000013</v>
      </c>
      <c r="D20" s="7">
        <v>115752.92999999996</v>
      </c>
      <c r="E20" s="7">
        <v>1378365.5399999998</v>
      </c>
      <c r="F20" s="7">
        <v>212949.97</v>
      </c>
      <c r="G20" s="7">
        <f t="shared" si="4"/>
        <v>1591315.5099999998</v>
      </c>
      <c r="H20" s="7">
        <f t="shared" si="5"/>
        <v>48792705.500000015</v>
      </c>
      <c r="I20" s="16">
        <f t="shared" si="6"/>
        <v>0.96841626614747245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28031712.98</v>
      </c>
      <c r="C21" s="7">
        <v>6327668.4999999972</v>
      </c>
      <c r="D21" s="7">
        <v>19776.180000000004</v>
      </c>
      <c r="E21" s="7">
        <v>441571.4</v>
      </c>
      <c r="F21" s="7">
        <v>6156.39</v>
      </c>
      <c r="G21" s="7">
        <f t="shared" si="4"/>
        <v>447727.79000000004</v>
      </c>
      <c r="H21" s="7">
        <f t="shared" si="5"/>
        <v>5879940.7099999972</v>
      </c>
      <c r="I21" s="16">
        <f t="shared" si="6"/>
        <v>0.9292428498743257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26255441.91</v>
      </c>
      <c r="C22" s="7">
        <v>384776.21</v>
      </c>
      <c r="D22" s="7">
        <v>6991.7</v>
      </c>
      <c r="E22" s="7">
        <v>110260.58000000002</v>
      </c>
      <c r="F22" s="7">
        <v>1024.4000000000001</v>
      </c>
      <c r="G22" s="7">
        <f t="shared" si="4"/>
        <v>111284.98000000001</v>
      </c>
      <c r="H22" s="7">
        <f t="shared" si="5"/>
        <v>273491.23</v>
      </c>
      <c r="I22" s="16">
        <f t="shared" si="6"/>
        <v>0.71077998819105781</v>
      </c>
      <c r="L22" s="138"/>
      <c r="M22" s="138"/>
      <c r="N22" s="138"/>
      <c r="O22" s="138"/>
      <c r="P22" s="138"/>
    </row>
    <row r="23" spans="1:19" s="5" customFormat="1" x14ac:dyDescent="0.2">
      <c r="A23" s="6" t="s">
        <v>76</v>
      </c>
      <c r="B23" s="7">
        <v>75198741.920000002</v>
      </c>
      <c r="C23" s="7">
        <v>55518863.810000002</v>
      </c>
      <c r="D23" s="7">
        <v>1373856.2</v>
      </c>
      <c r="E23" s="7">
        <v>3793655.2400000007</v>
      </c>
      <c r="F23" s="7">
        <v>202181</v>
      </c>
      <c r="G23" s="7">
        <f t="shared" si="4"/>
        <v>3995836.2400000007</v>
      </c>
      <c r="H23" s="7">
        <f t="shared" si="5"/>
        <v>51523027.57</v>
      </c>
      <c r="I23" s="16">
        <f t="shared" si="6"/>
        <v>0.92802741328290161</v>
      </c>
      <c r="L23" s="138"/>
      <c r="M23" s="138"/>
      <c r="N23" s="138"/>
      <c r="O23" s="138"/>
      <c r="P23" s="138"/>
    </row>
    <row r="24" spans="1:19" s="5" customFormat="1" x14ac:dyDescent="0.2">
      <c r="A24" s="6" t="s">
        <v>21</v>
      </c>
      <c r="B24" s="7">
        <v>27650785.010000002</v>
      </c>
      <c r="C24" s="7">
        <v>26165008.259999998</v>
      </c>
      <c r="D24" s="7">
        <v>10283.23</v>
      </c>
      <c r="E24" s="7">
        <v>351352.36000000004</v>
      </c>
      <c r="F24" s="7">
        <v>28622.77</v>
      </c>
      <c r="G24" s="7">
        <f t="shared" si="4"/>
        <v>379975.13000000006</v>
      </c>
      <c r="H24" s="7">
        <f t="shared" si="5"/>
        <v>25785033.129999999</v>
      </c>
      <c r="I24" s="16">
        <f t="shared" si="6"/>
        <v>0.98547773705155328</v>
      </c>
      <c r="L24" s="138"/>
      <c r="M24" s="138"/>
      <c r="N24" s="138"/>
      <c r="O24" s="138"/>
      <c r="P24" s="138"/>
    </row>
    <row r="25" spans="1:19" s="5" customFormat="1" x14ac:dyDescent="0.2">
      <c r="A25" s="6" t="s">
        <v>22</v>
      </c>
      <c r="B25" s="7">
        <v>80846623.390000001</v>
      </c>
      <c r="C25" s="7">
        <v>5299166.2300000023</v>
      </c>
      <c r="D25" s="7">
        <v>110931.37999999998</v>
      </c>
      <c r="E25" s="7">
        <v>4048152.8600000003</v>
      </c>
      <c r="F25" s="7">
        <v>261665.53000000003</v>
      </c>
      <c r="G25" s="7">
        <f t="shared" si="4"/>
        <v>4309818.3900000006</v>
      </c>
      <c r="H25" s="7">
        <f t="shared" si="5"/>
        <v>989347.84000000171</v>
      </c>
      <c r="I25" s="16">
        <f t="shared" si="6"/>
        <v>0.18669877430887863</v>
      </c>
      <c r="L25" s="138"/>
      <c r="M25" s="138"/>
      <c r="N25" s="138"/>
      <c r="O25" s="138"/>
      <c r="P25" s="138"/>
    </row>
    <row r="26" spans="1:19" s="5" customFormat="1" x14ac:dyDescent="0.2">
      <c r="A26" s="6" t="s">
        <v>23</v>
      </c>
      <c r="B26" s="7">
        <v>667088.79999999993</v>
      </c>
      <c r="C26" s="7">
        <v>2319534.3500000006</v>
      </c>
      <c r="D26" s="7">
        <v>16700.370000000003</v>
      </c>
      <c r="E26" s="7">
        <v>197039.6</v>
      </c>
      <c r="F26" s="7">
        <v>2955</v>
      </c>
      <c r="G26" s="7">
        <f t="shared" si="4"/>
        <v>199994.6</v>
      </c>
      <c r="H26" s="7">
        <f t="shared" si="5"/>
        <v>2119539.7500000005</v>
      </c>
      <c r="I26" s="16">
        <f t="shared" si="6"/>
        <v>0.91377812533795844</v>
      </c>
      <c r="L26" s="138"/>
      <c r="M26" s="138"/>
      <c r="N26" s="138"/>
      <c r="O26" s="138"/>
      <c r="P26" s="138"/>
    </row>
    <row r="27" spans="1:19" s="5" customFormat="1" x14ac:dyDescent="0.2">
      <c r="A27" s="6" t="s">
        <v>29</v>
      </c>
      <c r="B27" s="7">
        <v>53747141</v>
      </c>
      <c r="C27" s="7">
        <v>21670915.100000001</v>
      </c>
      <c r="D27" s="7">
        <v>0</v>
      </c>
      <c r="E27" s="7">
        <v>2102330.66</v>
      </c>
      <c r="F27" s="7">
        <v>4263.2299999999996</v>
      </c>
      <c r="G27" s="7">
        <f t="shared" si="4"/>
        <v>2106593.89</v>
      </c>
      <c r="H27" s="7">
        <f t="shared" si="5"/>
        <v>19564321.210000001</v>
      </c>
      <c r="I27" s="16">
        <f t="shared" si="6"/>
        <v>0.90279165045503773</v>
      </c>
      <c r="L27" s="138"/>
      <c r="M27" s="138"/>
      <c r="N27" s="138"/>
      <c r="O27" s="138"/>
      <c r="P27" s="138"/>
    </row>
    <row r="28" spans="1:19" s="5" customFormat="1" x14ac:dyDescent="0.2">
      <c r="A28" s="6" t="s">
        <v>30</v>
      </c>
      <c r="B28" s="7">
        <v>2025395.28</v>
      </c>
      <c r="C28" s="7">
        <v>2640995.2800000003</v>
      </c>
      <c r="D28" s="7">
        <v>180874.31</v>
      </c>
      <c r="E28" s="7">
        <v>2737735.48</v>
      </c>
      <c r="F28" s="7">
        <v>258655.3</v>
      </c>
      <c r="G28" s="7">
        <f t="shared" si="4"/>
        <v>2996390.78</v>
      </c>
      <c r="H28" s="7">
        <f t="shared" si="5"/>
        <v>-355395.49999999953</v>
      </c>
      <c r="I28" s="16">
        <f t="shared" si="6"/>
        <v>-0.13456877514752677</v>
      </c>
      <c r="L28" s="138"/>
      <c r="M28" s="138"/>
      <c r="N28" s="138"/>
      <c r="O28" s="138"/>
      <c r="P28" s="138"/>
    </row>
    <row r="29" spans="1:19" s="5" customFormat="1" x14ac:dyDescent="0.2">
      <c r="A29" s="29" t="s">
        <v>81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6" t="str">
        <f t="shared" ref="I29" si="9">IF(C29=0,"",H29/C29)</f>
        <v/>
      </c>
    </row>
    <row r="30" spans="1:19" s="5" customFormat="1" x14ac:dyDescent="0.2">
      <c r="A30" s="29" t="s">
        <v>82</v>
      </c>
      <c r="B30" s="7">
        <v>158786775.40000001</v>
      </c>
      <c r="C30" s="7">
        <v>144496358.24000004</v>
      </c>
      <c r="D30" s="7">
        <v>1095549.0900000001</v>
      </c>
      <c r="E30" s="7">
        <v>9523548.2300000042</v>
      </c>
      <c r="F30" s="7">
        <v>20060329.270000007</v>
      </c>
      <c r="G30" s="7">
        <f t="shared" ref="G30" si="10">SUM(E30:F30)</f>
        <v>29583877.500000011</v>
      </c>
      <c r="H30" s="7">
        <f t="shared" ref="H30" si="11">C30-G30</f>
        <v>114912480.74000002</v>
      </c>
      <c r="I30" s="16">
        <f t="shared" ref="I30" si="12">IF(C30=0,"",H30/C30)</f>
        <v>0.79526212383247119</v>
      </c>
      <c r="L30" s="138"/>
      <c r="M30" s="138"/>
      <c r="N30" s="138"/>
      <c r="O30" s="138"/>
      <c r="P30" s="138"/>
    </row>
    <row r="31" spans="1:19" s="5" customFormat="1" x14ac:dyDescent="0.2">
      <c r="A31" s="6" t="s">
        <v>25</v>
      </c>
      <c r="B31" s="7">
        <v>23086645.009999998</v>
      </c>
      <c r="C31" s="7">
        <v>23093125.009999998</v>
      </c>
      <c r="D31" s="7">
        <v>1927372.73</v>
      </c>
      <c r="E31" s="7">
        <v>19738379.680000007</v>
      </c>
      <c r="F31" s="7">
        <v>0</v>
      </c>
      <c r="G31" s="7">
        <f t="shared" si="4"/>
        <v>19738379.680000007</v>
      </c>
      <c r="H31" s="7">
        <f t="shared" si="5"/>
        <v>3354745.3299999908</v>
      </c>
      <c r="I31" s="16">
        <f t="shared" si="6"/>
        <v>0.14527030570991531</v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26</v>
      </c>
      <c r="B32" s="11">
        <f t="shared" ref="B32:H32" si="13">SUM(B14:B31)</f>
        <v>774970721.29000008</v>
      </c>
      <c r="C32" s="11">
        <f t="shared" si="13"/>
        <v>726389988.43999994</v>
      </c>
      <c r="D32" s="11">
        <f t="shared" si="13"/>
        <v>14816809.940000018</v>
      </c>
      <c r="E32" s="11">
        <f t="shared" si="13"/>
        <v>137417011.2100001</v>
      </c>
      <c r="F32" s="11">
        <f t="shared" si="13"/>
        <v>33058425.280000001</v>
      </c>
      <c r="G32" s="11">
        <f t="shared" si="13"/>
        <v>170475436.49000007</v>
      </c>
      <c r="H32" s="11">
        <f t="shared" si="13"/>
        <v>555914551.94999993</v>
      </c>
      <c r="I32" s="36">
        <f>IF(C32=0,"",H32/C32)</f>
        <v>0.76531141782926526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27</v>
      </c>
      <c r="B34" s="7">
        <f>B13-B32</f>
        <v>-295807903.57000011</v>
      </c>
      <c r="C34" s="7">
        <f>C13-C32</f>
        <v>-4046561.7699998617</v>
      </c>
      <c r="D34" s="7">
        <f>D13-D32</f>
        <v>-3177591.5600000173</v>
      </c>
      <c r="E34" s="7">
        <f>E13-E32</f>
        <v>53939673.019999862</v>
      </c>
      <c r="F34" s="7"/>
      <c r="G34" s="7">
        <f>G13-G32</f>
        <v>20881247.73999989</v>
      </c>
      <c r="H34" s="7">
        <f>H13-H32</f>
        <v>-24927809.509999812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73</v>
      </c>
      <c r="B36" s="20"/>
      <c r="C36" s="20"/>
      <c r="D36" s="20"/>
      <c r="E36" s="20">
        <v>562660.17000000156</v>
      </c>
      <c r="F36" s="20"/>
      <c r="G36" s="20">
        <f>E36</f>
        <v>562660.17000000156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54502333.189999864</v>
      </c>
      <c r="F37" s="24"/>
      <c r="G37" s="24">
        <f>SUM(G34:G36)</f>
        <v>21443907.909999892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37"/>
      <c r="H40" s="137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37"/>
      <c r="H41" s="137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"/>
      <c r="H44" s="1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I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I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69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45077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5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6">
        <f t="shared" si="2"/>
        <v>0.33749421332416785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24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8">
        <f t="shared" ref="I12" si="6">IF(C12=0,"NA",H12/C12)</f>
        <v>0.33749421332416785</v>
      </c>
    </row>
    <row r="13" spans="1:9" s="5" customFormat="1" ht="24.95" customHeight="1" x14ac:dyDescent="0.2">
      <c r="A13" s="10" t="s">
        <v>26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6">
        <f t="shared" ref="I13" si="10">IF(C13=0,"NA",H13/C13)</f>
        <v>0.33749421332416785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73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29.710937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20" ht="18.75" x14ac:dyDescent="0.3">
      <c r="A2" s="152" t="s">
        <v>70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20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20" x14ac:dyDescent="0.25">
      <c r="A4" s="153">
        <v>45077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20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20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20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J7" s="43"/>
      <c r="L7" s="138"/>
      <c r="M7" s="138"/>
      <c r="N7" s="138"/>
      <c r="O7" s="138"/>
      <c r="P7" s="138"/>
    </row>
    <row r="8" spans="1:20" s="5" customFormat="1" x14ac:dyDescent="0.2">
      <c r="A8" s="6" t="s">
        <v>8</v>
      </c>
      <c r="B8" s="7">
        <v>428990000</v>
      </c>
      <c r="C8" s="7">
        <v>429021000</v>
      </c>
      <c r="D8" s="7">
        <v>12299741.699999999</v>
      </c>
      <c r="E8" s="7">
        <v>128024046.76000001</v>
      </c>
      <c r="F8" s="7">
        <v>0</v>
      </c>
      <c r="G8" s="7">
        <f t="shared" ref="G8:G20" si="0">SUM(E8:F8)</f>
        <v>128024046.76000001</v>
      </c>
      <c r="H8" s="7">
        <f t="shared" ref="H8:H11" si="1">C8-G8</f>
        <v>300996953.24000001</v>
      </c>
      <c r="I8" s="35">
        <f>IF(C8=0,"NA",H8/C8)</f>
        <v>0.70159025604807224</v>
      </c>
      <c r="J8" s="44"/>
      <c r="K8"/>
      <c r="L8" s="139"/>
      <c r="M8" s="139"/>
      <c r="N8" s="139"/>
      <c r="O8" s="139"/>
      <c r="P8" s="139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1944429.3699999999</v>
      </c>
      <c r="E9" s="7">
        <v>6022210.8800000018</v>
      </c>
      <c r="F9" s="7">
        <v>0</v>
      </c>
      <c r="G9" s="7">
        <f t="shared" si="0"/>
        <v>6022210.8800000018</v>
      </c>
      <c r="H9" s="7">
        <f t="shared" si="1"/>
        <v>-3222210.8800000018</v>
      </c>
      <c r="I9" s="35">
        <f t="shared" ref="I9:I21" si="2">IF(C9=0,"NA",H9/C9)</f>
        <v>-1.1507896000000006</v>
      </c>
      <c r="J9" s="44"/>
      <c r="K9"/>
      <c r="L9" s="139"/>
      <c r="M9" s="139"/>
      <c r="N9" s="139"/>
      <c r="O9" s="139"/>
      <c r="P9" s="139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544810.6</v>
      </c>
      <c r="F10" s="7">
        <v>0</v>
      </c>
      <c r="G10" s="7">
        <f t="shared" si="0"/>
        <v>544810.6</v>
      </c>
      <c r="H10" s="7">
        <f t="shared" si="1"/>
        <v>-544810.6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20" s="5" customFormat="1" ht="24.95" customHeight="1" x14ac:dyDescent="0.25">
      <c r="A12" s="10" t="s">
        <v>12</v>
      </c>
      <c r="B12" s="11">
        <f>SUM(B8:B11)</f>
        <v>431790000</v>
      </c>
      <c r="C12" s="11">
        <f t="shared" ref="C12:F12" si="3">SUM(C8:C11)</f>
        <v>431821000</v>
      </c>
      <c r="D12" s="11">
        <f t="shared" si="3"/>
        <v>14244171.069999998</v>
      </c>
      <c r="E12" s="11">
        <f t="shared" si="3"/>
        <v>134591068.24000001</v>
      </c>
      <c r="F12" s="11">
        <f t="shared" si="3"/>
        <v>0</v>
      </c>
      <c r="G12" s="11">
        <f t="shared" ref="G12:H12" si="4">SUM(G8:G11)</f>
        <v>134591068.24000001</v>
      </c>
      <c r="H12" s="11">
        <f t="shared" si="4"/>
        <v>297229931.75999999</v>
      </c>
      <c r="I12" s="36">
        <f t="shared" si="2"/>
        <v>0.68831745505660913</v>
      </c>
      <c r="L12" s="1"/>
      <c r="M12" s="1"/>
      <c r="N12" s="1"/>
      <c r="O12" s="1"/>
      <c r="P12" s="1"/>
      <c r="Q12" s="1"/>
      <c r="R12" s="1"/>
      <c r="S12" s="1"/>
    </row>
    <row r="13" spans="1:20" s="5" customFormat="1" x14ac:dyDescent="0.2">
      <c r="A13" s="12" t="s">
        <v>13</v>
      </c>
      <c r="B13" s="13">
        <v>5000</v>
      </c>
      <c r="C13" s="13">
        <v>5500</v>
      </c>
      <c r="D13" s="13">
        <v>130949.6</v>
      </c>
      <c r="E13" s="13">
        <v>1959370.56</v>
      </c>
      <c r="F13" s="13">
        <v>1810058.37</v>
      </c>
      <c r="G13" s="7">
        <f t="shared" si="0"/>
        <v>3769428.93</v>
      </c>
      <c r="H13" s="7">
        <f t="shared" ref="H13:H20" si="5">C13-G13</f>
        <v>-3763928.93</v>
      </c>
      <c r="I13" s="39">
        <f t="shared" si="2"/>
        <v>-684.35071454545459</v>
      </c>
      <c r="J13" s="44"/>
      <c r="L13" s="138"/>
      <c r="M13" s="138"/>
      <c r="N13" s="138"/>
      <c r="O13" s="138"/>
      <c r="P13" s="138"/>
    </row>
    <row r="14" spans="1:20" s="5" customFormat="1" x14ac:dyDescent="0.25">
      <c r="A14" s="6" t="s">
        <v>14</v>
      </c>
      <c r="B14" s="7">
        <v>0</v>
      </c>
      <c r="C14" s="7">
        <v>10500</v>
      </c>
      <c r="D14" s="7">
        <v>0</v>
      </c>
      <c r="E14" s="7">
        <v>2110.46</v>
      </c>
      <c r="F14" s="7">
        <v>0</v>
      </c>
      <c r="G14" s="7">
        <f t="shared" si="0"/>
        <v>2110.46</v>
      </c>
      <c r="H14" s="7">
        <f t="shared" si="5"/>
        <v>8389.5400000000009</v>
      </c>
      <c r="I14" s="39">
        <f t="shared" ref="I14" si="6">IF(C14=0,"NA",H14/C14)</f>
        <v>0.79900380952380956</v>
      </c>
      <c r="J14" s="44"/>
      <c r="K14" s="1"/>
      <c r="L14" s="137"/>
      <c r="M14" s="137"/>
      <c r="N14" s="137"/>
      <c r="O14" s="137"/>
      <c r="P14" s="137"/>
      <c r="Q14" s="1"/>
      <c r="R14" s="1"/>
      <c r="S14" s="1"/>
    </row>
    <row r="15" spans="1:20" s="5" customFormat="1" x14ac:dyDescent="0.25">
      <c r="A15" s="6" t="s">
        <v>76</v>
      </c>
      <c r="B15" s="7">
        <v>10045882.43</v>
      </c>
      <c r="C15" s="7">
        <v>11202279.060000001</v>
      </c>
      <c r="D15" s="7">
        <v>0</v>
      </c>
      <c r="E15" s="7">
        <v>1502772.0800000003</v>
      </c>
      <c r="F15" s="7">
        <v>160447.1</v>
      </c>
      <c r="G15" s="7">
        <f t="shared" si="0"/>
        <v>1663219.1800000004</v>
      </c>
      <c r="H15" s="7">
        <f t="shared" si="5"/>
        <v>9539059.8800000008</v>
      </c>
      <c r="I15" s="39">
        <f t="shared" ref="I15" si="7">IF(C15=0,"NA",H15/C15)</f>
        <v>0.85152849959443877</v>
      </c>
      <c r="J15" s="44"/>
      <c r="K15" s="1"/>
      <c r="L15" s="137"/>
      <c r="M15" s="137"/>
      <c r="N15" s="137"/>
      <c r="O15" s="137"/>
      <c r="P15" s="137"/>
      <c r="Q15" s="1"/>
      <c r="R15" s="1"/>
      <c r="S15" s="1"/>
      <c r="T15" s="1"/>
    </row>
    <row r="16" spans="1:20" s="5" customFormat="1" x14ac:dyDescent="0.25">
      <c r="A16" s="6" t="s">
        <v>21</v>
      </c>
      <c r="B16" s="7">
        <v>1000000</v>
      </c>
      <c r="C16" s="7">
        <v>1000000</v>
      </c>
      <c r="D16" s="7">
        <v>0</v>
      </c>
      <c r="E16" s="7">
        <v>773700</v>
      </c>
      <c r="F16" s="7">
        <v>0</v>
      </c>
      <c r="G16" s="7">
        <f t="shared" si="0"/>
        <v>773700</v>
      </c>
      <c r="H16" s="7">
        <f t="shared" si="5"/>
        <v>226300</v>
      </c>
      <c r="I16" s="39">
        <f t="shared" ref="I16" si="8">IF(C16=0,"NA",H16/C16)</f>
        <v>0.2263</v>
      </c>
      <c r="J16" s="44"/>
      <c r="K16" s="1"/>
      <c r="L16" s="137"/>
      <c r="M16" s="137"/>
      <c r="N16" s="137"/>
      <c r="O16" s="137"/>
      <c r="P16" s="137"/>
      <c r="Q16" s="1"/>
      <c r="R16" s="1"/>
      <c r="S16" s="1"/>
      <c r="T16" s="1"/>
    </row>
    <row r="17" spans="1:21" s="5" customFormat="1" x14ac:dyDescent="0.25">
      <c r="A17" s="6" t="s">
        <v>22</v>
      </c>
      <c r="B17" s="7">
        <v>18000000</v>
      </c>
      <c r="C17" s="7">
        <v>18000000</v>
      </c>
      <c r="D17" s="7">
        <v>759283.59</v>
      </c>
      <c r="E17" s="7">
        <v>1771661.71</v>
      </c>
      <c r="F17" s="7">
        <v>13414009.93</v>
      </c>
      <c r="G17" s="7">
        <f t="shared" si="0"/>
        <v>15185671.640000001</v>
      </c>
      <c r="H17" s="7">
        <f t="shared" si="5"/>
        <v>2814328.3599999994</v>
      </c>
      <c r="I17" s="39"/>
      <c r="J17" s="44"/>
      <c r="K17" s="1"/>
      <c r="L17" s="137"/>
      <c r="M17" s="137"/>
      <c r="N17" s="137"/>
      <c r="O17" s="137"/>
      <c r="P17" s="137"/>
      <c r="Q17" s="1"/>
      <c r="R17" s="1"/>
      <c r="S17" s="1"/>
    </row>
    <row r="18" spans="1:21" s="5" customFormat="1" x14ac:dyDescent="0.25">
      <c r="A18" s="6" t="s">
        <v>82</v>
      </c>
      <c r="B18" s="7">
        <v>729323049.63999987</v>
      </c>
      <c r="C18" s="7">
        <v>453723966.15999991</v>
      </c>
      <c r="D18" s="7">
        <v>1292077.96</v>
      </c>
      <c r="E18" s="7">
        <v>23501412.750000007</v>
      </c>
      <c r="F18" s="7">
        <v>52571126.520000011</v>
      </c>
      <c r="G18" s="7">
        <f t="shared" si="0"/>
        <v>76072539.270000011</v>
      </c>
      <c r="H18" s="7">
        <f t="shared" si="5"/>
        <v>377651426.88999987</v>
      </c>
      <c r="I18" s="39">
        <f t="shared" si="2"/>
        <v>0.83233740127543965</v>
      </c>
      <c r="J18" s="44"/>
      <c r="K18" s="1"/>
      <c r="L18" s="137"/>
      <c r="M18" s="137"/>
      <c r="N18" s="137"/>
      <c r="O18" s="137"/>
      <c r="P18" s="137"/>
      <c r="Q18" s="1"/>
      <c r="R18" s="1"/>
      <c r="S18" s="1"/>
      <c r="T18" s="1"/>
    </row>
    <row r="19" spans="1:21" s="5" customFormat="1" x14ac:dyDescent="0.25">
      <c r="A19" s="6" t="s">
        <v>25</v>
      </c>
      <c r="B19" s="7">
        <v>83403442</v>
      </c>
      <c r="C19" s="7">
        <v>83403442</v>
      </c>
      <c r="D19" s="7">
        <v>0</v>
      </c>
      <c r="E19" s="7">
        <v>19859400</v>
      </c>
      <c r="F19" s="7">
        <v>0</v>
      </c>
      <c r="G19" s="7">
        <f t="shared" si="0"/>
        <v>19859400</v>
      </c>
      <c r="H19" s="7">
        <f t="shared" si="5"/>
        <v>63544042</v>
      </c>
      <c r="I19" s="39">
        <f t="shared" si="2"/>
        <v>0.76188752497768619</v>
      </c>
      <c r="J19" s="45"/>
      <c r="K19" s="1"/>
      <c r="L19" s="137"/>
      <c r="M19" s="137"/>
      <c r="N19" s="137"/>
      <c r="O19" s="137"/>
      <c r="P19" s="137"/>
      <c r="Q19" s="1"/>
      <c r="R19" s="1"/>
      <c r="S19" s="1"/>
      <c r="T19" s="1"/>
      <c r="U19" s="1"/>
    </row>
    <row r="20" spans="1:21" s="5" customFormat="1" x14ac:dyDescent="0.25">
      <c r="A20" s="6" t="s">
        <v>24</v>
      </c>
      <c r="B20" s="7">
        <v>5572080</v>
      </c>
      <c r="C20" s="7">
        <v>5572080</v>
      </c>
      <c r="D20" s="7">
        <v>120912.5</v>
      </c>
      <c r="E20" s="7">
        <v>9421256.5500000007</v>
      </c>
      <c r="F20" s="7">
        <v>0</v>
      </c>
      <c r="G20" s="7">
        <f t="shared" si="0"/>
        <v>9421256.5500000007</v>
      </c>
      <c r="H20" s="7">
        <f t="shared" si="5"/>
        <v>-3849176.5500000007</v>
      </c>
      <c r="I20" s="39">
        <f t="shared" si="2"/>
        <v>-0.69079707218848274</v>
      </c>
      <c r="J20" s="44"/>
      <c r="K20" s="1"/>
      <c r="L20" s="137"/>
      <c r="M20" s="137"/>
      <c r="N20" s="137"/>
      <c r="O20" s="137"/>
      <c r="P20" s="137"/>
      <c r="Q20" s="1"/>
      <c r="R20" s="1"/>
      <c r="S20" s="1"/>
      <c r="T20" s="1"/>
      <c r="U20" s="1"/>
    </row>
    <row r="21" spans="1:21" s="5" customFormat="1" ht="24.95" customHeight="1" x14ac:dyDescent="0.25">
      <c r="A21" s="10" t="s">
        <v>26</v>
      </c>
      <c r="B21" s="11">
        <f t="shared" ref="B21:H21" si="9">SUM(B13:B20)</f>
        <v>847349454.06999981</v>
      </c>
      <c r="C21" s="11">
        <f t="shared" si="9"/>
        <v>572917767.21999991</v>
      </c>
      <c r="D21" s="11">
        <f t="shared" si="9"/>
        <v>2303223.65</v>
      </c>
      <c r="E21" s="11">
        <f t="shared" si="9"/>
        <v>58791684.110000014</v>
      </c>
      <c r="F21" s="11">
        <f t="shared" si="9"/>
        <v>67955641.920000017</v>
      </c>
      <c r="G21" s="11">
        <f t="shared" si="9"/>
        <v>126747326.03000002</v>
      </c>
      <c r="H21" s="11">
        <f t="shared" si="9"/>
        <v>446170441.18999988</v>
      </c>
      <c r="I21" s="36">
        <f t="shared" si="2"/>
        <v>0.77876872863443736</v>
      </c>
      <c r="K21" s="1"/>
      <c r="L21" s="137"/>
      <c r="M21" s="137"/>
      <c r="N21" s="137"/>
      <c r="O21" s="137"/>
      <c r="P21" s="137"/>
      <c r="Q21" s="1"/>
      <c r="R21" s="1"/>
      <c r="S21" s="1"/>
      <c r="T21" s="1"/>
      <c r="U21" s="1"/>
    </row>
    <row r="22" spans="1:21" s="5" customFormat="1" ht="24.95" customHeight="1" x14ac:dyDescent="0.25">
      <c r="A22" s="12"/>
      <c r="B22" s="13"/>
      <c r="C22" s="13"/>
      <c r="D22" s="13"/>
      <c r="E22" s="13"/>
      <c r="F22" s="13"/>
      <c r="G22" s="13"/>
      <c r="H22" s="13"/>
      <c r="I22" s="15"/>
      <c r="J22" s="46"/>
      <c r="K22" s="1"/>
      <c r="L22" s="137"/>
      <c r="M22" s="137"/>
      <c r="N22" s="137"/>
      <c r="O22" s="137"/>
      <c r="P22" s="137"/>
      <c r="Q22" s="1"/>
      <c r="R22" s="1"/>
      <c r="S22" s="1"/>
      <c r="T22" s="1"/>
      <c r="U22" s="1"/>
    </row>
    <row r="23" spans="1:21" s="5" customFormat="1" ht="24.95" customHeight="1" x14ac:dyDescent="0.25">
      <c r="A23" s="6" t="s">
        <v>27</v>
      </c>
      <c r="B23" s="7">
        <f>B12-B21</f>
        <v>-415559454.06999981</v>
      </c>
      <c r="C23" s="7">
        <f>C12-C21</f>
        <v>-141096767.21999991</v>
      </c>
      <c r="D23" s="7">
        <f>D12-D21</f>
        <v>11940947.419999998</v>
      </c>
      <c r="E23" s="7">
        <f>E12-E21</f>
        <v>75799384.129999995</v>
      </c>
      <c r="F23" s="7"/>
      <c r="G23" s="7">
        <f>G12-G21</f>
        <v>7843742.2099999934</v>
      </c>
      <c r="H23" s="7">
        <f>H12-H21</f>
        <v>-148940509.42999989</v>
      </c>
      <c r="I23" s="16"/>
      <c r="J23" s="47"/>
      <c r="K23" s="1"/>
      <c r="L23" s="137"/>
      <c r="M23" s="137"/>
      <c r="N23" s="137"/>
      <c r="O23" s="137"/>
      <c r="P23" s="137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7"/>
      <c r="J24" s="47"/>
      <c r="K24" s="1"/>
      <c r="L24" s="137"/>
      <c r="M24" s="137"/>
      <c r="N24" s="137"/>
      <c r="O24" s="137"/>
      <c r="P24" s="137"/>
      <c r="Q24" s="1"/>
      <c r="R24" s="1"/>
      <c r="S24" s="1"/>
      <c r="T24" s="1"/>
      <c r="U24" s="1"/>
    </row>
    <row r="25" spans="1:21" x14ac:dyDescent="0.25">
      <c r="A25" s="18" t="s">
        <v>73</v>
      </c>
      <c r="B25" s="20"/>
      <c r="C25" s="20"/>
      <c r="D25" s="20"/>
      <c r="E25" s="20">
        <v>364500000</v>
      </c>
      <c r="F25" s="20"/>
      <c r="G25" s="20">
        <f>E25</f>
        <v>364500000</v>
      </c>
      <c r="H25" s="20"/>
      <c r="I25" s="21"/>
      <c r="J25" s="46"/>
    </row>
    <row r="26" spans="1:21" ht="15.75" thickBot="1" x14ac:dyDescent="0.3">
      <c r="A26" s="22" t="s">
        <v>28</v>
      </c>
      <c r="B26" s="24"/>
      <c r="C26" s="24"/>
      <c r="D26" s="24"/>
      <c r="E26" s="24">
        <f>SUM(E23:E25)</f>
        <v>440299384.13</v>
      </c>
      <c r="F26" s="24"/>
      <c r="G26" s="24">
        <f>SUM(G23:G25)</f>
        <v>372343742.20999998</v>
      </c>
      <c r="H26" s="24"/>
      <c r="I26" s="25"/>
    </row>
    <row r="27" spans="1:21" x14ac:dyDescent="0.25">
      <c r="A27" s="5"/>
      <c r="B27" s="33"/>
      <c r="C27" s="33"/>
      <c r="D27" s="33"/>
      <c r="E27" s="33"/>
      <c r="F27" s="33"/>
      <c r="G27" s="33"/>
      <c r="H27" s="33"/>
      <c r="I27" s="5"/>
    </row>
    <row r="29" spans="1:21" x14ac:dyDescent="0.25">
      <c r="B29" s="137"/>
      <c r="C29" s="137"/>
      <c r="D29" s="150"/>
      <c r="E29" s="137"/>
      <c r="F29" s="137"/>
      <c r="G29" s="137"/>
      <c r="H29" s="137"/>
      <c r="I29" s="137"/>
      <c r="J29" s="137"/>
    </row>
    <row r="30" spans="1:21" x14ac:dyDescent="0.25">
      <c r="B30" s="137"/>
      <c r="C30" s="137"/>
      <c r="D30" s="150"/>
      <c r="E30" s="137"/>
      <c r="F30" s="137"/>
      <c r="G30" s="137"/>
      <c r="H30" s="137"/>
      <c r="J30" s="137"/>
    </row>
    <row r="31" spans="1:21" x14ac:dyDescent="0.25">
      <c r="B31" s="137"/>
      <c r="C31" s="137"/>
      <c r="D31" s="150"/>
      <c r="E31" s="137"/>
      <c r="F31" s="137"/>
      <c r="G31" s="137"/>
      <c r="H31" s="137"/>
      <c r="J31" s="137"/>
    </row>
    <row r="32" spans="1:21" x14ac:dyDescent="0.25">
      <c r="B32" s="137"/>
      <c r="C32" s="137"/>
      <c r="D32" s="150"/>
      <c r="E32" s="137"/>
      <c r="F32" s="137"/>
      <c r="G32" s="137"/>
      <c r="H32" s="137"/>
      <c r="J32" s="137"/>
    </row>
    <row r="33" spans="2:10" x14ac:dyDescent="0.25">
      <c r="B33" s="137"/>
      <c r="C33" s="137"/>
      <c r="D33" s="150"/>
      <c r="E33" s="137"/>
      <c r="F33" s="137"/>
      <c r="G33" s="137"/>
      <c r="H33" s="137"/>
      <c r="J33" s="137"/>
    </row>
    <row r="34" spans="2:10" x14ac:dyDescent="0.25">
      <c r="B34" s="137"/>
      <c r="C34" s="137"/>
      <c r="D34" s="137"/>
      <c r="E34" s="137"/>
      <c r="F34" s="137"/>
      <c r="J34" s="137"/>
    </row>
    <row r="35" spans="2:10" x14ac:dyDescent="0.25">
      <c r="B35" s="137"/>
      <c r="C35" s="137"/>
      <c r="D35" s="137"/>
      <c r="E35" s="137"/>
      <c r="F35" s="137"/>
      <c r="J35" s="137"/>
    </row>
    <row r="36" spans="2:10" x14ac:dyDescent="0.25">
      <c r="B36" s="137"/>
      <c r="C36" s="137"/>
      <c r="D36" s="137"/>
      <c r="E36" s="137"/>
      <c r="F36" s="137"/>
      <c r="J36" s="137"/>
    </row>
    <row r="37" spans="2:10" x14ac:dyDescent="0.25">
      <c r="B37" s="137"/>
      <c r="C37" s="137"/>
      <c r="D37" s="137"/>
      <c r="E37" s="137"/>
      <c r="F37" s="137"/>
      <c r="J37" s="137"/>
    </row>
    <row r="38" spans="2:10" x14ac:dyDescent="0.25">
      <c r="B38" s="137"/>
      <c r="C38" s="137"/>
      <c r="D38" s="137"/>
      <c r="E38" s="137"/>
      <c r="F38" s="137"/>
      <c r="J38" s="137"/>
    </row>
    <row r="39" spans="2:10" x14ac:dyDescent="0.25">
      <c r="B39" s="137"/>
      <c r="C39" s="137"/>
      <c r="D39" s="137"/>
      <c r="E39" s="137"/>
      <c r="F39" s="137"/>
      <c r="J39" s="137"/>
    </row>
    <row r="40" spans="2:10" x14ac:dyDescent="0.25">
      <c r="I40" s="30"/>
    </row>
    <row r="41" spans="2:10" x14ac:dyDescent="0.25">
      <c r="I41" s="30"/>
    </row>
    <row r="42" spans="2:10" x14ac:dyDescent="0.25">
      <c r="I42" s="30"/>
    </row>
    <row r="43" spans="2:10" x14ac:dyDescent="0.25">
      <c r="I43" s="30"/>
    </row>
    <row r="44" spans="2:10" x14ac:dyDescent="0.25">
      <c r="I44" s="30"/>
    </row>
    <row r="45" spans="2:10" x14ac:dyDescent="0.25">
      <c r="I45" s="30"/>
    </row>
    <row r="46" spans="2:10" x14ac:dyDescent="0.25">
      <c r="I46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71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45077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M7" s="138"/>
      <c r="N7" s="138"/>
      <c r="O7" s="138"/>
      <c r="P7" s="138"/>
      <c r="Q7" s="138"/>
      <c r="R7" s="138"/>
    </row>
    <row r="8" spans="1:19" s="5" customFormat="1" x14ac:dyDescent="0.2">
      <c r="A8" s="6" t="s">
        <v>8</v>
      </c>
      <c r="B8" s="7">
        <v>11694445.880000001</v>
      </c>
      <c r="C8" s="7">
        <v>11694445.880000001</v>
      </c>
      <c r="D8" s="7">
        <v>158774.39000000001</v>
      </c>
      <c r="E8" s="7">
        <v>2879376.2700000019</v>
      </c>
      <c r="F8" s="7">
        <v>0</v>
      </c>
      <c r="G8" s="7">
        <f t="shared" ref="G8:G17" si="0">SUM(E8:F8)</f>
        <v>2879376.2700000019</v>
      </c>
      <c r="H8" s="7">
        <f t="shared" ref="H8:H12" si="1">C8-G8</f>
        <v>8815069.6099999994</v>
      </c>
      <c r="I8" s="39">
        <f>IF(C8=0,"NA",H8/C8)</f>
        <v>0.75378258195847059</v>
      </c>
      <c r="M8" s="138"/>
      <c r="N8" s="138"/>
      <c r="O8" s="138"/>
      <c r="P8" s="138"/>
      <c r="Q8" s="138"/>
      <c r="R8" s="13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21345.26</v>
      </c>
      <c r="E9" s="7">
        <v>163461.72999999998</v>
      </c>
      <c r="F9" s="7">
        <v>0</v>
      </c>
      <c r="G9" s="7">
        <f t="shared" si="0"/>
        <v>163461.72999999998</v>
      </c>
      <c r="H9" s="7">
        <f t="shared" si="1"/>
        <v>-163461.72999999998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60628.00000000008</v>
      </c>
      <c r="E10" s="7">
        <v>868992.00000000023</v>
      </c>
      <c r="F10" s="7">
        <v>0</v>
      </c>
      <c r="G10" s="7">
        <f t="shared" si="0"/>
        <v>868992.00000000023</v>
      </c>
      <c r="H10" s="7">
        <f t="shared" si="1"/>
        <v>345501.99999999977</v>
      </c>
      <c r="I10" s="39">
        <f t="shared" si="2"/>
        <v>0.28448226174851399</v>
      </c>
      <c r="M10" s="138"/>
      <c r="N10" s="138"/>
      <c r="O10" s="138"/>
      <c r="P10" s="138"/>
      <c r="Q10" s="138"/>
      <c r="R10" s="138"/>
    </row>
    <row r="11" spans="1:19" s="5" customFormat="1" x14ac:dyDescent="0.2">
      <c r="A11" s="6" t="s">
        <v>83</v>
      </c>
      <c r="B11" s="7">
        <v>53391815.120000005</v>
      </c>
      <c r="C11" s="7">
        <v>53391815.120000005</v>
      </c>
      <c r="D11" s="7">
        <v>5974012.5299999965</v>
      </c>
      <c r="E11" s="7">
        <v>60550256.790000014</v>
      </c>
      <c r="F11" s="7">
        <v>0</v>
      </c>
      <c r="G11" s="7">
        <f t="shared" si="0"/>
        <v>60550256.790000014</v>
      </c>
      <c r="H11" s="7">
        <f t="shared" si="1"/>
        <v>-7158441.6700000092</v>
      </c>
      <c r="I11" s="39">
        <f t="shared" si="2"/>
        <v>-0.13407376493777476</v>
      </c>
      <c r="M11" s="138"/>
      <c r="N11" s="138"/>
      <c r="O11" s="138"/>
      <c r="P11" s="138"/>
      <c r="Q11" s="138"/>
      <c r="R11" s="138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19" s="5" customFormat="1" ht="24.95" customHeight="1" x14ac:dyDescent="0.25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6214760.1799999969</v>
      </c>
      <c r="E13" s="11">
        <f t="shared" si="3"/>
        <v>64462086.790000014</v>
      </c>
      <c r="F13" s="11">
        <f t="shared" si="3"/>
        <v>0</v>
      </c>
      <c r="G13" s="11">
        <f t="shared" si="3"/>
        <v>64462086.790000014</v>
      </c>
      <c r="H13" s="11">
        <f t="shared" si="3"/>
        <v>4638668.2099999897</v>
      </c>
      <c r="I13" s="36">
        <f t="shared" si="2"/>
        <v>6.712905249732784E-2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19" s="5" customFormat="1" x14ac:dyDescent="0.25">
      <c r="A16" s="6" t="s">
        <v>29</v>
      </c>
      <c r="B16" s="7">
        <v>68718996.969999984</v>
      </c>
      <c r="C16" s="7">
        <v>68620215.969999969</v>
      </c>
      <c r="D16" s="7">
        <v>4184206.17</v>
      </c>
      <c r="E16" s="7">
        <v>51637542.870000027</v>
      </c>
      <c r="F16" s="7">
        <v>6359719.79</v>
      </c>
      <c r="G16" s="7">
        <f t="shared" si="0"/>
        <v>57997262.660000026</v>
      </c>
      <c r="H16" s="7">
        <f t="shared" si="4"/>
        <v>10622953.309999943</v>
      </c>
      <c r="I16" s="39">
        <f t="shared" si="2"/>
        <v>0.15480792591273956</v>
      </c>
      <c r="L16" s="1"/>
      <c r="M16" s="1"/>
      <c r="N16" s="1"/>
      <c r="O16" s="1"/>
      <c r="P16" s="1"/>
      <c r="Q16" s="1"/>
      <c r="R16" s="1"/>
      <c r="S16" s="1"/>
    </row>
    <row r="17" spans="1:22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2" s="5" customFormat="1" ht="24.95" customHeight="1" x14ac:dyDescent="0.25">
      <c r="A18" s="10" t="s">
        <v>26</v>
      </c>
      <c r="B18" s="11">
        <f>SUM(B14:B17)</f>
        <v>68785786.969999984</v>
      </c>
      <c r="C18" s="11">
        <f t="shared" ref="C18:G18" si="5">SUM(C14:C17)</f>
        <v>68620215.969999969</v>
      </c>
      <c r="D18" s="11">
        <f t="shared" si="5"/>
        <v>4184206.17</v>
      </c>
      <c r="E18" s="11">
        <f t="shared" si="5"/>
        <v>51637542.870000027</v>
      </c>
      <c r="F18" s="11">
        <f t="shared" si="5"/>
        <v>6359719.79</v>
      </c>
      <c r="G18" s="11">
        <f t="shared" si="5"/>
        <v>57997262.660000026</v>
      </c>
      <c r="H18" s="11">
        <f t="shared" ref="H18" si="6">SUM(H14:H17)</f>
        <v>10622953.309999943</v>
      </c>
      <c r="I18" s="36">
        <f t="shared" si="2"/>
        <v>0.15480792591273956</v>
      </c>
      <c r="L18" s="1"/>
      <c r="M18" s="1"/>
      <c r="N18" s="1"/>
      <c r="O18" s="1"/>
      <c r="P18" s="1"/>
      <c r="Q18" s="1"/>
      <c r="R18" s="1"/>
      <c r="S18" s="1"/>
    </row>
    <row r="19" spans="1:22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R19" s="1"/>
      <c r="S19" s="1"/>
      <c r="T19" s="1"/>
    </row>
    <row r="20" spans="1:22" s="5" customFormat="1" x14ac:dyDescent="0.25">
      <c r="A20" s="6" t="s">
        <v>27</v>
      </c>
      <c r="B20" s="7">
        <f>B13-B18</f>
        <v>314968.03000001609</v>
      </c>
      <c r="C20" s="7">
        <f>C13-C18</f>
        <v>480539.03000003099</v>
      </c>
      <c r="D20" s="7">
        <f>D13-D18</f>
        <v>2030554.009999997</v>
      </c>
      <c r="E20" s="7">
        <f>E13-E18</f>
        <v>12824543.919999987</v>
      </c>
      <c r="F20" s="7"/>
      <c r="G20" s="7">
        <f>G13-G18</f>
        <v>6464824.1299999878</v>
      </c>
      <c r="H20" s="7">
        <f>H13-H18</f>
        <v>-5984285.0999999531</v>
      </c>
      <c r="I20" s="16"/>
      <c r="L20" s="1"/>
      <c r="M20" s="1"/>
      <c r="N20" s="1"/>
      <c r="O20" s="1"/>
      <c r="P20" s="1"/>
      <c r="Q20" s="1"/>
      <c r="T20" s="1"/>
    </row>
    <row r="21" spans="1:22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T21" s="1"/>
    </row>
    <row r="22" spans="1:22" s="5" customFormat="1" x14ac:dyDescent="0.25">
      <c r="A22" s="18" t="s">
        <v>73</v>
      </c>
      <c r="B22" s="20"/>
      <c r="C22" s="20"/>
      <c r="D22" s="20"/>
      <c r="E22" s="20">
        <v>18476000</v>
      </c>
      <c r="F22" s="20"/>
      <c r="G22" s="20">
        <f>E22</f>
        <v>18476000</v>
      </c>
      <c r="H22" s="20"/>
      <c r="I22" s="21"/>
      <c r="L22" s="1"/>
      <c r="M22" s="1"/>
      <c r="N22" s="1"/>
      <c r="O22" s="1"/>
      <c r="P22" s="1"/>
      <c r="Q22" s="1"/>
      <c r="R22" s="1"/>
      <c r="T22" s="1"/>
    </row>
    <row r="23" spans="1:22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31300543.919999987</v>
      </c>
      <c r="F23" s="24"/>
      <c r="G23" s="24">
        <f>SUM(G20:G22)</f>
        <v>24940824.129999988</v>
      </c>
      <c r="H23" s="24"/>
      <c r="I23" s="25"/>
      <c r="L23" s="1"/>
      <c r="M23" s="1"/>
      <c r="N23" s="1"/>
      <c r="O23" s="1"/>
      <c r="P23" s="1"/>
      <c r="Q23" s="1"/>
      <c r="R23" s="1"/>
      <c r="S23" s="1"/>
    </row>
    <row r="24" spans="1:22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</row>
    <row r="25" spans="1:22" s="5" customFormat="1" x14ac:dyDescent="0.25">
      <c r="B25" s="30"/>
      <c r="C25" s="30"/>
      <c r="D25" s="30"/>
      <c r="E25" s="1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2" s="5" customFormat="1" x14ac:dyDescent="0.25">
      <c r="A26" s="1"/>
      <c r="B26" s="30"/>
      <c r="C26" s="30"/>
      <c r="D26" s="30"/>
      <c r="E26" s="30"/>
      <c r="F26" s="3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8" spans="1:22" x14ac:dyDescent="0.25">
      <c r="G28" s="1"/>
      <c r="H28" s="1"/>
    </row>
    <row r="30" spans="1:22" x14ac:dyDescent="0.25">
      <c r="G30" s="1"/>
      <c r="H30" s="1"/>
    </row>
    <row r="31" spans="1:22" x14ac:dyDescent="0.25">
      <c r="I31" s="30"/>
    </row>
    <row r="32" spans="1:22" x14ac:dyDescent="0.25">
      <c r="I32" s="30"/>
      <c r="J32" s="30"/>
    </row>
    <row r="33" spans="5:10" x14ac:dyDescent="0.25">
      <c r="I33" s="30"/>
      <c r="J33" s="30"/>
    </row>
    <row r="34" spans="5:10" x14ac:dyDescent="0.25">
      <c r="G34" s="1"/>
      <c r="H34" s="1"/>
    </row>
    <row r="35" spans="5:10" x14ac:dyDescent="0.25">
      <c r="E35" s="1"/>
      <c r="F35" s="1"/>
      <c r="G35" s="1"/>
      <c r="H35" s="1"/>
    </row>
    <row r="36" spans="5:10" x14ac:dyDescent="0.25">
      <c r="G36" s="1"/>
      <c r="H36" s="1"/>
    </row>
    <row r="37" spans="5:10" x14ac:dyDescent="0.25">
      <c r="H37" s="1"/>
    </row>
    <row r="38" spans="5:10" x14ac:dyDescent="0.25">
      <c r="H38" s="1"/>
    </row>
    <row r="39" spans="5:10" x14ac:dyDescent="0.25">
      <c r="H39" s="1"/>
    </row>
    <row r="40" spans="5:10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microsoft.com/office/2006/documentManagement/types"/>
    <ds:schemaRef ds:uri="http://purl.org/dc/elements/1.1/"/>
    <ds:schemaRef ds:uri="edc4a2e3-56ec-4fd2-a9db-893721e9ab6c"/>
    <ds:schemaRef ds:uri="http://schemas.microsoft.com/office/infopath/2007/PartnerControls"/>
    <ds:schemaRef ds:uri="http://schemas.openxmlformats.org/package/2006/metadata/core-properties"/>
    <ds:schemaRef ds:uri="fd92ff4e-e524-4e6b-bcac-5c88d6f646ba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2023-06-13T15:42:09Z</cp:lastPrinted>
  <dcterms:created xsi:type="dcterms:W3CDTF">2020-01-29T12:55:36Z</dcterms:created>
  <dcterms:modified xsi:type="dcterms:W3CDTF">2023-06-13T15:43:12Z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