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FINANCE\BOARD FINANCIAL REPORTS\~WorkFolder\2023_06\"/>
    </mc:Choice>
  </mc:AlternateContent>
  <bookViews>
    <workbookView xWindow="-120" yWindow="-120" windowWidth="20730" windowHeight="11160" tabRatio="797"/>
  </bookViews>
  <sheets>
    <sheet name="GENERAL FUND" sheetId="1" r:id="rId1"/>
    <sheet name="DATA for CHARTS (2023)" sheetId="10" state="hidden" r:id="rId2"/>
    <sheet name="Budget vs Actual (2023)" sheetId="6" r:id="rId3"/>
    <sheet name="YTD EXPENDITURES by FUNCTION" sheetId="7" r:id="rId4"/>
    <sheet name="YTD EXPENDITURES by FUNCTIO (2" sheetId="8" r:id="rId5"/>
    <sheet name="DCSD Revenue Budget vs Actual" sheetId="9" r:id="rId6"/>
    <sheet name="SPECIAL REVENUE" sheetId="2" r:id="rId7"/>
    <sheet name="DEBT SERVICE" sheetId="3" r:id="rId8"/>
    <sheet name="CAPITAL PROJECTS" sheetId="4" r:id="rId9"/>
    <sheet name="SCHOOL NUTRITION" sheetId="5" r:id="rId10"/>
  </sheets>
  <definedNames>
    <definedName name="_xlnm.Print_Area" localSheetId="0">'GENERAL FUND'!$A:$I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1" i="10" l="1"/>
  <c r="P19" i="10"/>
  <c r="P18" i="10"/>
  <c r="P17" i="10"/>
  <c r="P16" i="10"/>
  <c r="P15" i="10"/>
  <c r="P14" i="10"/>
  <c r="P13" i="10"/>
  <c r="P12" i="10"/>
  <c r="P11" i="10"/>
  <c r="P10" i="10"/>
  <c r="P9" i="10"/>
  <c r="O20" i="10" l="1"/>
  <c r="O19" i="10"/>
  <c r="O18" i="10"/>
  <c r="O17" i="10"/>
  <c r="O16" i="10"/>
  <c r="O15" i="10"/>
  <c r="O14" i="10"/>
  <c r="O13" i="10"/>
  <c r="O11" i="10"/>
  <c r="O10" i="10"/>
  <c r="O9" i="10"/>
  <c r="G20" i="4" l="1"/>
  <c r="H20" i="4" s="1"/>
  <c r="G19" i="4"/>
  <c r="H19" i="4" s="1"/>
  <c r="G18" i="4"/>
  <c r="H18" i="4" s="1"/>
  <c r="G17" i="4"/>
  <c r="H17" i="4" s="1"/>
  <c r="G16" i="4"/>
  <c r="H16" i="4" s="1"/>
  <c r="G15" i="4"/>
  <c r="H15" i="4" s="1"/>
  <c r="G14" i="4"/>
  <c r="H14" i="4" s="1"/>
  <c r="N19" i="10" l="1"/>
  <c r="N18" i="10"/>
  <c r="N17" i="10"/>
  <c r="N16" i="10"/>
  <c r="N14" i="10"/>
  <c r="N13" i="10"/>
  <c r="N11" i="10"/>
  <c r="N10" i="10"/>
  <c r="N9" i="10"/>
  <c r="M40" i="10"/>
  <c r="M21" i="10" l="1"/>
  <c r="M19" i="10"/>
  <c r="M18" i="10"/>
  <c r="M17" i="10"/>
  <c r="M14" i="10"/>
  <c r="M13" i="10"/>
  <c r="M12" i="10"/>
  <c r="M11" i="10"/>
  <c r="M10" i="10"/>
  <c r="M9" i="10"/>
  <c r="I18" i="4"/>
  <c r="I19" i="4"/>
  <c r="G27" i="1" l="1"/>
  <c r="H27" i="1" s="1"/>
  <c r="I27" i="1" s="1"/>
  <c r="L21" i="10" l="1"/>
  <c r="L19" i="10"/>
  <c r="L14" i="10"/>
  <c r="L13" i="10"/>
  <c r="L11" i="10"/>
  <c r="L10" i="10"/>
  <c r="L9" i="10"/>
  <c r="K21" i="10" l="1"/>
  <c r="K19" i="10"/>
  <c r="K18" i="10"/>
  <c r="K17" i="10"/>
  <c r="K14" i="10"/>
  <c r="K13" i="10"/>
  <c r="K11" i="10"/>
  <c r="K10" i="10"/>
  <c r="K9" i="10"/>
  <c r="I42" i="10" l="1"/>
  <c r="I41" i="10"/>
  <c r="I40" i="10"/>
  <c r="J19" i="10"/>
  <c r="J18" i="10"/>
  <c r="J17" i="10"/>
  <c r="J16" i="10"/>
  <c r="J14" i="10"/>
  <c r="J11" i="10"/>
  <c r="J10" i="10"/>
  <c r="J9" i="10"/>
  <c r="C40" i="10" l="1"/>
  <c r="C41" i="10"/>
  <c r="C42" i="10"/>
  <c r="C43" i="10"/>
  <c r="I19" i="10"/>
  <c r="I18" i="10"/>
  <c r="I17" i="10"/>
  <c r="I13" i="10"/>
  <c r="I14" i="10"/>
  <c r="I11" i="10"/>
  <c r="I9" i="10"/>
  <c r="G11" i="3"/>
  <c r="G12" i="3"/>
  <c r="G29" i="2"/>
  <c r="H29" i="2" s="1"/>
  <c r="I29" i="2" s="1"/>
  <c r="I14" i="4" l="1"/>
  <c r="H19" i="10" l="1"/>
  <c r="H18" i="10"/>
  <c r="H17" i="10"/>
  <c r="H16" i="10"/>
  <c r="H14" i="10"/>
  <c r="H13" i="10"/>
  <c r="H11" i="10"/>
  <c r="H10" i="10"/>
  <c r="H9" i="10"/>
  <c r="F42" i="10" l="1"/>
  <c r="G19" i="10"/>
  <c r="G18" i="10"/>
  <c r="G17" i="10"/>
  <c r="G16" i="10"/>
  <c r="G14" i="10"/>
  <c r="G13" i="10"/>
  <c r="G11" i="10"/>
  <c r="G10" i="10"/>
  <c r="G9" i="10"/>
  <c r="F19" i="10" l="1"/>
  <c r="F18" i="10"/>
  <c r="F17" i="10"/>
  <c r="F16" i="10"/>
  <c r="F14" i="10"/>
  <c r="F11" i="10"/>
  <c r="F10" i="10"/>
  <c r="F9" i="10"/>
  <c r="G8" i="4" l="1"/>
  <c r="G9" i="4"/>
  <c r="G10" i="4"/>
  <c r="G11" i="4"/>
  <c r="E35" i="1" l="1"/>
  <c r="G35" i="1" s="1"/>
  <c r="G34" i="1"/>
  <c r="H65" i="10" l="1"/>
  <c r="F25" i="10"/>
  <c r="E20" i="10"/>
  <c r="E21" i="10"/>
  <c r="E22" i="10"/>
  <c r="T22" i="10" s="1"/>
  <c r="E23" i="10"/>
  <c r="E24" i="10"/>
  <c r="G26" i="1" l="1"/>
  <c r="H26" i="1" s="1"/>
  <c r="I26" i="1" s="1"/>
  <c r="G13" i="4" l="1"/>
  <c r="C29" i="1" l="1"/>
  <c r="D29" i="1"/>
  <c r="E29" i="1"/>
  <c r="F29" i="1"/>
  <c r="B29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8" i="1"/>
  <c r="G29" i="1" l="1"/>
  <c r="T21" i="10"/>
  <c r="U25" i="10"/>
  <c r="C12" i="4" l="1"/>
  <c r="D12" i="4"/>
  <c r="E12" i="4"/>
  <c r="F12" i="4"/>
  <c r="B12" i="4"/>
  <c r="I15" i="4"/>
  <c r="E16" i="10"/>
  <c r="T16" i="10" s="1"/>
  <c r="E13" i="10"/>
  <c r="T13" i="10" s="1"/>
  <c r="I11" i="3"/>
  <c r="H11" i="3"/>
  <c r="G9" i="3"/>
  <c r="H9" i="3" s="1"/>
  <c r="I9" i="3" s="1"/>
  <c r="I8" i="3"/>
  <c r="G8" i="3"/>
  <c r="H8" i="3" s="1"/>
  <c r="H12" i="3"/>
  <c r="I12" i="3" s="1"/>
  <c r="B47" i="10"/>
  <c r="E19" i="10"/>
  <c r="T19" i="10" s="1"/>
  <c r="H13" i="1"/>
  <c r="I13" i="1" s="1"/>
  <c r="H14" i="1"/>
  <c r="I14" i="1" s="1"/>
  <c r="H15" i="1"/>
  <c r="I15" i="1" s="1"/>
  <c r="H16" i="1"/>
  <c r="I16" i="1" s="1"/>
  <c r="H17" i="1"/>
  <c r="H18" i="1"/>
  <c r="I18" i="1" s="1"/>
  <c r="H19" i="1"/>
  <c r="I19" i="1" s="1"/>
  <c r="H20" i="1"/>
  <c r="I20" i="1" s="1"/>
  <c r="H21" i="1"/>
  <c r="I21" i="1" s="1"/>
  <c r="H22" i="1"/>
  <c r="I22" i="1" s="1"/>
  <c r="H25" i="1"/>
  <c r="I25" i="1" s="1"/>
  <c r="H28" i="1"/>
  <c r="I28" i="1" s="1"/>
  <c r="H24" i="1"/>
  <c r="I24" i="1" s="1"/>
  <c r="H23" i="1"/>
  <c r="I23" i="1" s="1"/>
  <c r="B12" i="1"/>
  <c r="C12" i="1"/>
  <c r="D12" i="1"/>
  <c r="E12" i="1"/>
  <c r="F12" i="1"/>
  <c r="B65" i="10"/>
  <c r="P47" i="10"/>
  <c r="O47" i="10"/>
  <c r="N47" i="10"/>
  <c r="M47" i="10"/>
  <c r="L47" i="10"/>
  <c r="K47" i="10"/>
  <c r="J47" i="10"/>
  <c r="I47" i="10"/>
  <c r="H47" i="10"/>
  <c r="G47" i="10"/>
  <c r="F47" i="10"/>
  <c r="E47" i="10"/>
  <c r="C47" i="10"/>
  <c r="P46" i="10"/>
  <c r="O46" i="10"/>
  <c r="N46" i="10"/>
  <c r="N48" i="10" s="1"/>
  <c r="M46" i="10"/>
  <c r="L46" i="10"/>
  <c r="K46" i="10"/>
  <c r="J46" i="10"/>
  <c r="I46" i="10"/>
  <c r="H46" i="10"/>
  <c r="G46" i="10"/>
  <c r="F46" i="10"/>
  <c r="E46" i="10"/>
  <c r="E51" i="10" s="1"/>
  <c r="B46" i="10"/>
  <c r="P44" i="10"/>
  <c r="O44" i="10"/>
  <c r="N44" i="10"/>
  <c r="M44" i="10"/>
  <c r="L44" i="10"/>
  <c r="K44" i="10"/>
  <c r="J44" i="10"/>
  <c r="I44" i="10"/>
  <c r="H44" i="10"/>
  <c r="G44" i="10"/>
  <c r="F44" i="10"/>
  <c r="E44" i="10"/>
  <c r="B44" i="10"/>
  <c r="T43" i="10"/>
  <c r="T42" i="10"/>
  <c r="T41" i="10"/>
  <c r="T40" i="10"/>
  <c r="Q25" i="10"/>
  <c r="P25" i="10"/>
  <c r="O25" i="10"/>
  <c r="N25" i="10"/>
  <c r="M25" i="10"/>
  <c r="H25" i="10"/>
  <c r="T24" i="10"/>
  <c r="T23" i="10"/>
  <c r="T20" i="10"/>
  <c r="E15" i="10"/>
  <c r="T15" i="10" s="1"/>
  <c r="E14" i="10"/>
  <c r="T14" i="10" s="1"/>
  <c r="E12" i="10"/>
  <c r="T12" i="10" s="1"/>
  <c r="E10" i="10"/>
  <c r="T10" i="10" s="1"/>
  <c r="G22" i="5"/>
  <c r="G25" i="4"/>
  <c r="G17" i="3"/>
  <c r="G36" i="2"/>
  <c r="G33" i="1"/>
  <c r="C18" i="5"/>
  <c r="D18" i="5"/>
  <c r="E18" i="5"/>
  <c r="F18" i="5"/>
  <c r="B18" i="5"/>
  <c r="B21" i="4"/>
  <c r="C21" i="4"/>
  <c r="D21" i="4"/>
  <c r="E21" i="4"/>
  <c r="F21" i="4"/>
  <c r="I15" i="5"/>
  <c r="I10" i="4"/>
  <c r="G8" i="1"/>
  <c r="H8" i="1" s="1"/>
  <c r="I8" i="1" s="1"/>
  <c r="G9" i="1"/>
  <c r="H9" i="1" s="1"/>
  <c r="I9" i="1" s="1"/>
  <c r="G10" i="1"/>
  <c r="H10" i="1" s="1"/>
  <c r="I10" i="1" s="1"/>
  <c r="G11" i="1"/>
  <c r="G30" i="2"/>
  <c r="H30" i="2" s="1"/>
  <c r="I30" i="2" s="1"/>
  <c r="G17" i="5"/>
  <c r="H17" i="5" s="1"/>
  <c r="G16" i="5"/>
  <c r="H16" i="5" s="1"/>
  <c r="I16" i="5" s="1"/>
  <c r="G15" i="5"/>
  <c r="H15" i="5" s="1"/>
  <c r="G14" i="5"/>
  <c r="H14" i="5" s="1"/>
  <c r="I14" i="5" s="1"/>
  <c r="B10" i="3"/>
  <c r="C10" i="3"/>
  <c r="D10" i="3"/>
  <c r="E10" i="3"/>
  <c r="B13" i="5"/>
  <c r="C13" i="5"/>
  <c r="D13" i="5"/>
  <c r="E13" i="5"/>
  <c r="F13" i="5"/>
  <c r="B13" i="3"/>
  <c r="C13" i="3"/>
  <c r="D13" i="3"/>
  <c r="E13" i="3"/>
  <c r="F13" i="3"/>
  <c r="B13" i="2"/>
  <c r="C13" i="2"/>
  <c r="D13" i="2"/>
  <c r="E13" i="2"/>
  <c r="F13" i="2"/>
  <c r="I17" i="5"/>
  <c r="G12" i="5"/>
  <c r="H12" i="5" s="1"/>
  <c r="I12" i="5" s="1"/>
  <c r="G11" i="5"/>
  <c r="H11" i="5" s="1"/>
  <c r="I11" i="5" s="1"/>
  <c r="G10" i="5"/>
  <c r="H10" i="5" s="1"/>
  <c r="I10" i="5" s="1"/>
  <c r="G9" i="5"/>
  <c r="H9" i="5" s="1"/>
  <c r="I9" i="5" s="1"/>
  <c r="G8" i="5"/>
  <c r="H8" i="5" s="1"/>
  <c r="I20" i="4"/>
  <c r="H13" i="4"/>
  <c r="I13" i="4" s="1"/>
  <c r="H11" i="4"/>
  <c r="I11" i="4"/>
  <c r="H10" i="4"/>
  <c r="H9" i="4"/>
  <c r="I9" i="4" s="1"/>
  <c r="H8" i="4"/>
  <c r="F10" i="3"/>
  <c r="F32" i="2"/>
  <c r="E32" i="2"/>
  <c r="D32" i="2"/>
  <c r="C32" i="2"/>
  <c r="B32" i="2"/>
  <c r="G31" i="2"/>
  <c r="H31" i="2" s="1"/>
  <c r="I31" i="2" s="1"/>
  <c r="G28" i="2"/>
  <c r="H28" i="2" s="1"/>
  <c r="I28" i="2" s="1"/>
  <c r="G19" i="2"/>
  <c r="H19" i="2" s="1"/>
  <c r="I19" i="2" s="1"/>
  <c r="G27" i="2"/>
  <c r="H27" i="2" s="1"/>
  <c r="I27" i="2" s="1"/>
  <c r="G26" i="2"/>
  <c r="H26" i="2" s="1"/>
  <c r="I26" i="2" s="1"/>
  <c r="G25" i="2"/>
  <c r="H25" i="2" s="1"/>
  <c r="I25" i="2" s="1"/>
  <c r="G24" i="2"/>
  <c r="H24" i="2" s="1"/>
  <c r="I24" i="2" s="1"/>
  <c r="G23" i="2"/>
  <c r="H23" i="2" s="1"/>
  <c r="I23" i="2" s="1"/>
  <c r="G22" i="2"/>
  <c r="H22" i="2" s="1"/>
  <c r="I22" i="2" s="1"/>
  <c r="G21" i="2"/>
  <c r="H21" i="2" s="1"/>
  <c r="I21" i="2" s="1"/>
  <c r="G20" i="2"/>
  <c r="H20" i="2" s="1"/>
  <c r="I20" i="2" s="1"/>
  <c r="G18" i="2"/>
  <c r="H18" i="2" s="1"/>
  <c r="I18" i="2" s="1"/>
  <c r="G17" i="2"/>
  <c r="H17" i="2" s="1"/>
  <c r="I17" i="2" s="1"/>
  <c r="G16" i="2"/>
  <c r="H16" i="2" s="1"/>
  <c r="I16" i="2" s="1"/>
  <c r="G15" i="2"/>
  <c r="H15" i="2" s="1"/>
  <c r="I15" i="2" s="1"/>
  <c r="G14" i="2"/>
  <c r="H14" i="2" s="1"/>
  <c r="G12" i="2"/>
  <c r="G11" i="2"/>
  <c r="G10" i="2"/>
  <c r="G9" i="2"/>
  <c r="G8" i="2"/>
  <c r="H10" i="2" l="1"/>
  <c r="H9" i="2"/>
  <c r="H11" i="2"/>
  <c r="H12" i="2"/>
  <c r="E48" i="10"/>
  <c r="E11" i="10"/>
  <c r="T11" i="10" s="1"/>
  <c r="J25" i="10"/>
  <c r="O48" i="10"/>
  <c r="G48" i="10"/>
  <c r="B48" i="10"/>
  <c r="I48" i="10"/>
  <c r="E18" i="10"/>
  <c r="T18" i="10" s="1"/>
  <c r="H48" i="10"/>
  <c r="L48" i="10"/>
  <c r="J48" i="10"/>
  <c r="M48" i="10"/>
  <c r="F48" i="10"/>
  <c r="E52" i="10"/>
  <c r="F52" i="10" s="1"/>
  <c r="G52" i="10" s="1"/>
  <c r="H52" i="10" s="1"/>
  <c r="I52" i="10" s="1"/>
  <c r="J52" i="10" s="1"/>
  <c r="K52" i="10" s="1"/>
  <c r="L52" i="10" s="1"/>
  <c r="M52" i="10" s="1"/>
  <c r="N52" i="10" s="1"/>
  <c r="O52" i="10" s="1"/>
  <c r="P52" i="10" s="1"/>
  <c r="B20" i="5"/>
  <c r="K48" i="10"/>
  <c r="E9" i="10"/>
  <c r="L25" i="10"/>
  <c r="P48" i="10"/>
  <c r="E17" i="10"/>
  <c r="T17" i="10" s="1"/>
  <c r="E31" i="1"/>
  <c r="E36" i="1" s="1"/>
  <c r="G10" i="3"/>
  <c r="H10" i="3" s="1"/>
  <c r="E20" i="5"/>
  <c r="E23" i="5" s="1"/>
  <c r="D40" i="10"/>
  <c r="D41" i="10"/>
  <c r="D42" i="10"/>
  <c r="D43" i="10"/>
  <c r="D47" i="10"/>
  <c r="B56" i="10" s="1"/>
  <c r="D20" i="5"/>
  <c r="C20" i="5"/>
  <c r="C23" i="4"/>
  <c r="D34" i="2"/>
  <c r="C34" i="2"/>
  <c r="B31" i="1"/>
  <c r="E15" i="3"/>
  <c r="E18" i="3" s="1"/>
  <c r="D15" i="3"/>
  <c r="B34" i="2"/>
  <c r="D31" i="1"/>
  <c r="C31" i="1"/>
  <c r="G12" i="1"/>
  <c r="G13" i="5"/>
  <c r="B23" i="4"/>
  <c r="H18" i="5"/>
  <c r="I18" i="5" s="1"/>
  <c r="G18" i="5"/>
  <c r="G12" i="4"/>
  <c r="E23" i="4"/>
  <c r="E26" i="4" s="1"/>
  <c r="D23" i="4"/>
  <c r="B15" i="3"/>
  <c r="C15" i="3"/>
  <c r="G13" i="3"/>
  <c r="H13" i="3" s="1"/>
  <c r="I13" i="3" s="1"/>
  <c r="G32" i="2"/>
  <c r="G13" i="2"/>
  <c r="E34" i="2"/>
  <c r="E37" i="2" s="1"/>
  <c r="H11" i="1"/>
  <c r="I14" i="2"/>
  <c r="H32" i="2"/>
  <c r="I32" i="2" s="1"/>
  <c r="I8" i="5"/>
  <c r="H13" i="5"/>
  <c r="H12" i="4"/>
  <c r="I8" i="4"/>
  <c r="I17" i="1"/>
  <c r="H29" i="1"/>
  <c r="I29" i="1" s="1"/>
  <c r="I16" i="4"/>
  <c r="H21" i="4"/>
  <c r="I21" i="4" s="1"/>
  <c r="C46" i="10"/>
  <c r="F51" i="10"/>
  <c r="G21" i="4"/>
  <c r="G25" i="10"/>
  <c r="C44" i="10"/>
  <c r="D44" i="10" s="1"/>
  <c r="H8" i="2"/>
  <c r="I25" i="10"/>
  <c r="K25" i="10"/>
  <c r="I12" i="2" l="1"/>
  <c r="I11" i="2"/>
  <c r="I9" i="2"/>
  <c r="I10" i="2"/>
  <c r="E53" i="10"/>
  <c r="C48" i="10"/>
  <c r="D48" i="10" s="1"/>
  <c r="B57" i="10" s="1"/>
  <c r="E25" i="10"/>
  <c r="T9" i="10"/>
  <c r="T25" i="10" s="1"/>
  <c r="C6" i="10"/>
  <c r="B16" i="10" s="1"/>
  <c r="C16" i="10" s="1"/>
  <c r="G31" i="1"/>
  <c r="G36" i="1" s="1"/>
  <c r="G34" i="2"/>
  <c r="G37" i="2" s="1"/>
  <c r="G20" i="5"/>
  <c r="G23" i="5" s="1"/>
  <c r="G15" i="3"/>
  <c r="G18" i="3" s="1"/>
  <c r="H12" i="1"/>
  <c r="I12" i="1" s="1"/>
  <c r="I11" i="1"/>
  <c r="G23" i="4"/>
  <c r="G26" i="4" s="1"/>
  <c r="H13" i="2"/>
  <c r="I8" i="2"/>
  <c r="H20" i="5"/>
  <c r="I13" i="5"/>
  <c r="G51" i="10"/>
  <c r="F53" i="10"/>
  <c r="D46" i="10"/>
  <c r="B55" i="10" s="1"/>
  <c r="I12" i="4"/>
  <c r="H23" i="4"/>
  <c r="I10" i="3"/>
  <c r="H15" i="3"/>
  <c r="B29" i="10" l="1"/>
  <c r="B15" i="10"/>
  <c r="C15" i="10" s="1"/>
  <c r="I13" i="2"/>
  <c r="H34" i="2"/>
  <c r="G53" i="10"/>
  <c r="H51" i="10"/>
  <c r="H53" i="10" l="1"/>
  <c r="I51" i="10"/>
  <c r="I53" i="10" l="1"/>
  <c r="J51" i="10"/>
  <c r="K51" i="10" l="1"/>
  <c r="J53" i="10"/>
  <c r="K53" i="10" l="1"/>
  <c r="L51" i="10"/>
  <c r="M51" i="10" l="1"/>
  <c r="L53" i="10"/>
  <c r="M53" i="10" l="1"/>
  <c r="N51" i="10"/>
  <c r="O51" i="10" l="1"/>
  <c r="N53" i="10"/>
  <c r="O53" i="10" l="1"/>
  <c r="P51" i="10"/>
  <c r="P53" i="10" s="1"/>
</calcChain>
</file>

<file path=xl/sharedStrings.xml><?xml version="1.0" encoding="utf-8"?>
<sst xmlns="http://schemas.openxmlformats.org/spreadsheetml/2006/main" count="267" uniqueCount="84">
  <si>
    <t>DEKALB COUNTY BOARD OF EDUCATION</t>
  </si>
  <si>
    <t>STATEMENT OF REVENUE &amp; EXPENDITURES</t>
  </si>
  <si>
    <t>(UNAUDITED)</t>
  </si>
  <si>
    <t>CURRENT MONTH</t>
  </si>
  <si>
    <t>REV/EXP YTD</t>
  </si>
  <si>
    <t>ENCUMBRANCE</t>
  </si>
  <si>
    <t>TOTAL REV/EXP YTD</t>
  </si>
  <si>
    <t>REMAINING BALANCE</t>
  </si>
  <si>
    <t xml:space="preserve">   LOCAL REVENUES</t>
  </si>
  <si>
    <t xml:space="preserve">   INTEREST</t>
  </si>
  <si>
    <t xml:space="preserve">   STATE SOURCES</t>
  </si>
  <si>
    <t xml:space="preserve">   TRANSFERS AND OTHER LOCAL</t>
  </si>
  <si>
    <t>Total Revenue</t>
  </si>
  <si>
    <t xml:space="preserve">   INSTRUCTION</t>
  </si>
  <si>
    <t xml:space="preserve">   PUPIL SERVICES</t>
  </si>
  <si>
    <t xml:space="preserve">   IMPROVEMENT OF INSTRUCTIONAL SERVICES</t>
  </si>
  <si>
    <t xml:space="preserve">   INSTRUCTIONAL STAFF TRAINING</t>
  </si>
  <si>
    <t xml:space="preserve">   EDUCATIONAL MEDIA SERVICES</t>
  </si>
  <si>
    <t xml:space="preserve">   GENERAL ADMINISTRATION</t>
  </si>
  <si>
    <t xml:space="preserve">   SCHOOL ADMINISTRATION</t>
  </si>
  <si>
    <t xml:space="preserve">   SUPPORT SERVICES - BUSINESS</t>
  </si>
  <si>
    <t xml:space="preserve">   STUDENT TRANSPORTATION SERVICE</t>
  </si>
  <si>
    <t xml:space="preserve">   SUPPORT SERVICES - CENTRAL</t>
  </si>
  <si>
    <t xml:space="preserve">   OTHER SUPPORT SERVICES</t>
  </si>
  <si>
    <t xml:space="preserve">   DEBT SERVICE</t>
  </si>
  <si>
    <t xml:space="preserve">   TRANSFERS &amp; OTHER OUTLAYS</t>
  </si>
  <si>
    <t>Total Expenditures</t>
  </si>
  <si>
    <t>Revenues OVER/UNDER Expenditures</t>
  </si>
  <si>
    <t>ENDING BALANCE</t>
  </si>
  <si>
    <t xml:space="preserve">   SCHOOL NUTRITION PROGRAM</t>
  </si>
  <si>
    <t xml:space="preserve">   ENTERPRISE OPERATIONS</t>
  </si>
  <si>
    <t>% of REMAINING BUDGET</t>
  </si>
  <si>
    <t>Description</t>
  </si>
  <si>
    <t>AMENDED BUDGET</t>
  </si>
  <si>
    <t>ORIGINAL BUDGET</t>
  </si>
  <si>
    <t>YTD BUDGET VS ACTUAL CHART DATA</t>
  </si>
  <si>
    <t>GF EXPENSE BUDGET</t>
  </si>
  <si>
    <t>YTD EXPENSE ACTUALS</t>
  </si>
  <si>
    <t>GENERAL FUND Budget</t>
  </si>
  <si>
    <t>YTD ACTUAL EXPENSE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</si>
  <si>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</si>
  <si>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</si>
  <si>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</si>
  <si>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</si>
  <si>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</si>
  <si>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</si>
  <si>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</si>
  <si>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</si>
  <si>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</si>
  <si>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</si>
  <si>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</si>
  <si>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</si>
  <si>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UNEXPENDED BUDGET</t>
  </si>
  <si>
    <t>YTD EXPENSE</t>
  </si>
  <si>
    <t xml:space="preserve">   MAINTENANCE AND OPERATION</t>
  </si>
  <si>
    <t>YTD REVENUE</t>
  </si>
  <si>
    <t>NEW YTD REVENUE COLLECTED CHART DATA</t>
  </si>
  <si>
    <t>BUDGET</t>
  </si>
  <si>
    <t>YTD REVENUE ACTUALS</t>
  </si>
  <si>
    <t>YTD %</t>
  </si>
  <si>
    <t>LOCAL &amp; OTHER</t>
  </si>
  <si>
    <t>STATE</t>
  </si>
  <si>
    <t>CUMULATIVE</t>
  </si>
  <si>
    <t>YTD ACTUAL REVENUE</t>
  </si>
  <si>
    <t>Total Revenue Anticipated</t>
  </si>
  <si>
    <t>YTD ACTUALS</t>
  </si>
  <si>
    <t>REVENUE BUDGET</t>
  </si>
  <si>
    <t>FY2023 GENERAL FUND (ROLLUP)</t>
  </si>
  <si>
    <t>FY2023 SPECIAL REVENUE (ROLLUP)</t>
  </si>
  <si>
    <t>FY2023 DEBT SERVICE (ROLLUP)</t>
  </si>
  <si>
    <t>FY2023 CAPITAL PROJECTS (ROLLUP)</t>
  </si>
  <si>
    <t>FY2023 SCHOOL NUTRITION (ROLLUP)</t>
  </si>
  <si>
    <t>FY2023 BUDGET CHARTS</t>
  </si>
  <si>
    <t>BEGINNING BALANCE (Estimated)</t>
  </si>
  <si>
    <t>ASSIGNED BALANCE (Gold Case)</t>
  </si>
  <si>
    <t>UNASSIGNED STARTING BALANCE (Estimated)</t>
  </si>
  <si>
    <t xml:space="preserve">   MAINTENANCE AND OPERATION OF PLANT SERVICES</t>
  </si>
  <si>
    <t xml:space="preserve">   FEDERAL GRANT ADMINISTRATION</t>
  </si>
  <si>
    <t xml:space="preserve">   COMMUNITY SERVICES OPERATIONS</t>
  </si>
  <si>
    <t xml:space="preserve">   FACILITIES ACQUISITION AND CONSTRUCTION SERVICES</t>
  </si>
  <si>
    <t xml:space="preserve">   FEDERAL SOURCES</t>
  </si>
  <si>
    <t>TOTAL GENERAL OPERATIONS BUDGET
$1,325,362,980</t>
  </si>
  <si>
    <t>GENERAL OPERATIONS YTD EXPENSES
$1,229,831,228</t>
  </si>
  <si>
    <t>(LOCAL &amp; OTHER)  Budgeted: $802,097,362  Actual: $808,679,215  100.82%
(STATE)  Budgeted: $503,441,426  Actual: $465,535,812   92.47%
TOTAL Budgeted: $1,305,538,788  Actual: $1,330,581,969   101.92%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</si>
</sst>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$&quot;#,##0_);\(&quot;$&quot;#,##0\)"/>
    <numFmt numFmtId="164" formatCode="0.0%"/>
  </numFmts>
  <fonts count="15" x14ac:knownFonts="1"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i/>
      <sz val="11"/>
      <color theme="1"/>
      <name val="Calibri"/>
      <family val="2"/>
    </font>
    <font>
      <sz val="10"/>
      <color indexed="8"/>
      <name val="Arial"/>
      <family val="2"/>
    </font>
    <font>
      <b/>
      <sz val="16"/>
      <color indexed="8"/>
      <name val="ARIAL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b/>
      <i/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8"/>
      <color indexed="8"/>
      <name val="ARIAL"/>
      <family val="2"/>
    </font>
    <font>
      <i/>
      <sz val="11"/>
      <color theme="1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7"/>
        <bgColor indexed="25"/>
      </patternFill>
    </fill>
    <fill>
      <patternFill patternType="solid">
        <fgColor indexed="46"/>
        <bgColor indexed="25"/>
      </patternFill>
    </fill>
    <fill>
      <patternFill patternType="solid">
        <fgColor indexed="42"/>
        <bgColor indexed="25"/>
      </patternFill>
    </fill>
    <fill>
      <patternFill patternType="solid">
        <fgColor indexed="45"/>
        <bgColor indexed="25"/>
      </patternFill>
    </fill>
    <fill>
      <patternFill patternType="solid">
        <fgColor indexed="44"/>
        <bgColor indexed="25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25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11"/>
        <bgColor indexed="2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25"/>
      </patternFill>
    </fill>
    <fill>
      <patternFill patternType="solid">
        <fgColor rgb="FFFFC00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6" fillId="0" borderId="0">
      <alignment vertical="top"/>
    </xf>
    <xf numFmtId="9" fontId="6" fillId="0" borderId="0" applyFont="0" applyFill="0" applyBorder="0" applyAlignment="0" applyProtection="0">
      <alignment vertical="top"/>
    </xf>
  </cellStyleXfs>
  <cellXfs count="166">
    <xf numFmtId="0" fontId="0" fillId="0" borderId="0" xfId="0"/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38" fontId="3" fillId="0" borderId="5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38" fontId="3" fillId="0" borderId="8" xfId="0" applyNumberFormat="1" applyFont="1" applyBorder="1" applyAlignment="1">
      <alignment vertical="center"/>
    </xf>
    <xf numFmtId="0" fontId="2" fillId="3" borderId="9" xfId="0" applyFont="1" applyFill="1" applyBorder="1" applyAlignment="1">
      <alignment vertical="center"/>
    </xf>
    <xf numFmtId="38" fontId="2" fillId="3" borderId="10" xfId="0" applyNumberFormat="1" applyFont="1" applyFill="1" applyBorder="1" applyAlignment="1">
      <alignment vertical="center"/>
    </xf>
    <xf numFmtId="0" fontId="3" fillId="0" borderId="12" xfId="0" applyFont="1" applyBorder="1" applyAlignment="1">
      <alignment vertical="center"/>
    </xf>
    <xf numFmtId="38" fontId="3" fillId="0" borderId="13" xfId="0" applyNumberFormat="1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10" fontId="3" fillId="0" borderId="15" xfId="1" applyNumberFormat="1" applyFont="1" applyBorder="1" applyAlignment="1">
      <alignment vertical="center"/>
    </xf>
    <xf numFmtId="10" fontId="3" fillId="0" borderId="16" xfId="1" applyNumberFormat="1" applyFont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10" xfId="0" applyFont="1" applyBorder="1" applyAlignment="1">
      <alignment vertical="center"/>
    </xf>
    <xf numFmtId="38" fontId="3" fillId="0" borderId="10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0" fontId="2" fillId="0" borderId="18" xfId="0" applyFont="1" applyBorder="1" applyAlignment="1">
      <alignment vertical="center"/>
    </xf>
    <xf numFmtId="38" fontId="2" fillId="0" borderId="18" xfId="0" applyNumberFormat="1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10" fontId="3" fillId="0" borderId="14" xfId="1" applyNumberFormat="1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38" fontId="3" fillId="0" borderId="0" xfId="0" applyNumberFormat="1" applyFont="1"/>
    <xf numFmtId="0" fontId="5" fillId="0" borderId="0" xfId="0" applyFont="1" applyAlignment="1">
      <alignment vertical="center"/>
    </xf>
    <xf numFmtId="38" fontId="2" fillId="2" borderId="2" xfId="0" applyNumberFormat="1" applyFont="1" applyFill="1" applyBorder="1" applyAlignment="1">
      <alignment horizontal="center" vertical="center" wrapText="1"/>
    </xf>
    <xf numFmtId="38" fontId="3" fillId="0" borderId="0" xfId="0" applyNumberFormat="1" applyFont="1" applyAlignment="1">
      <alignment vertical="center"/>
    </xf>
    <xf numFmtId="0" fontId="3" fillId="0" borderId="16" xfId="0" applyFont="1" applyBorder="1" applyAlignment="1">
      <alignment vertical="center"/>
    </xf>
    <xf numFmtId="10" fontId="3" fillId="0" borderId="6" xfId="1" applyNumberFormat="1" applyFont="1" applyBorder="1" applyAlignment="1">
      <alignment horizontal="right" vertical="center"/>
    </xf>
    <xf numFmtId="10" fontId="2" fillId="3" borderId="11" xfId="1" applyNumberFormat="1" applyFont="1" applyFill="1" applyBorder="1" applyAlignment="1">
      <alignment horizontal="right" vertical="center"/>
    </xf>
    <xf numFmtId="10" fontId="3" fillId="0" borderId="14" xfId="1" applyNumberFormat="1" applyFont="1" applyBorder="1" applyAlignment="1">
      <alignment horizontal="right" vertical="center"/>
    </xf>
    <xf numFmtId="10" fontId="3" fillId="0" borderId="16" xfId="1" applyNumberFormat="1" applyFont="1" applyBorder="1" applyAlignment="1">
      <alignment horizontal="right" vertical="center"/>
    </xf>
    <xf numFmtId="10" fontId="3" fillId="0" borderId="15" xfId="1" applyNumberFormat="1" applyFont="1" applyBorder="1" applyAlignment="1">
      <alignment horizontal="right" vertical="center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4" fontId="2" fillId="0" borderId="0" xfId="0" applyNumberFormat="1" applyFont="1" applyFill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10" fontId="3" fillId="0" borderId="0" xfId="1" applyNumberFormat="1" applyFont="1" applyFill="1" applyBorder="1" applyAlignment="1">
      <alignment horizontal="right" vertical="center"/>
    </xf>
    <xf numFmtId="10" fontId="2" fillId="0" borderId="0" xfId="1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10" fontId="3" fillId="0" borderId="0" xfId="1" applyNumberFormat="1" applyFont="1" applyFill="1" applyBorder="1" applyAlignment="1">
      <alignment vertical="center"/>
    </xf>
    <xf numFmtId="0" fontId="3" fillId="0" borderId="0" xfId="0" applyFont="1" applyFill="1"/>
    <xf numFmtId="38" fontId="6" fillId="0" borderId="0" xfId="2" applyNumberFormat="1" applyBorder="1">
      <alignment vertical="top"/>
    </xf>
    <xf numFmtId="38" fontId="6" fillId="0" borderId="0" xfId="2" applyNumberFormat="1">
      <alignment vertical="top"/>
    </xf>
    <xf numFmtId="0" fontId="6" fillId="0" borderId="0" xfId="2">
      <alignment vertical="top"/>
    </xf>
    <xf numFmtId="0" fontId="6" fillId="0" borderId="0" xfId="2" applyBorder="1">
      <alignment vertical="top"/>
    </xf>
    <xf numFmtId="0" fontId="8" fillId="6" borderId="1" xfId="2" applyFont="1" applyFill="1" applyBorder="1" applyAlignment="1">
      <alignment horizontal="center" vertical="center" wrapText="1"/>
    </xf>
    <xf numFmtId="0" fontId="8" fillId="6" borderId="3" xfId="2" applyFont="1" applyFill="1" applyBorder="1" applyAlignment="1">
      <alignment horizontal="center" vertical="center" wrapText="1"/>
    </xf>
    <xf numFmtId="0" fontId="9" fillId="0" borderId="26" xfId="2" applyFont="1" applyFill="1" applyBorder="1" applyAlignment="1">
      <alignment horizontal="center" vertical="center" wrapText="1"/>
    </xf>
    <xf numFmtId="38" fontId="8" fillId="7" borderId="27" xfId="2" applyNumberFormat="1" applyFont="1" applyFill="1" applyBorder="1" applyAlignment="1">
      <alignment horizontal="center" vertical="top"/>
    </xf>
    <xf numFmtId="38" fontId="8" fillId="8" borderId="28" xfId="2" applyNumberFormat="1" applyFont="1" applyFill="1" applyBorder="1" applyAlignment="1">
      <alignment horizontal="center" vertical="top"/>
    </xf>
    <xf numFmtId="40" fontId="10" fillId="0" borderId="0" xfId="2" applyNumberFormat="1" applyFont="1" applyBorder="1">
      <alignment vertical="top"/>
    </xf>
    <xf numFmtId="0" fontId="10" fillId="0" borderId="0" xfId="2" applyFont="1" applyAlignment="1">
      <alignment horizontal="center" vertical="top"/>
    </xf>
    <xf numFmtId="0" fontId="8" fillId="9" borderId="26" xfId="2" applyFont="1" applyFill="1" applyBorder="1" applyAlignment="1">
      <alignment horizontal="center" vertical="center" wrapText="1"/>
    </xf>
    <xf numFmtId="38" fontId="8" fillId="6" borderId="29" xfId="2" applyNumberFormat="1" applyFont="1" applyFill="1" applyBorder="1" applyAlignment="1">
      <alignment horizontal="center" vertical="center" wrapText="1"/>
    </xf>
    <xf numFmtId="38" fontId="8" fillId="6" borderId="2" xfId="2" applyNumberFormat="1" applyFont="1" applyFill="1" applyBorder="1" applyAlignment="1">
      <alignment horizontal="center" vertical="center" wrapText="1"/>
    </xf>
    <xf numFmtId="38" fontId="8" fillId="6" borderId="3" xfId="2" applyNumberFormat="1" applyFont="1" applyFill="1" applyBorder="1" applyAlignment="1">
      <alignment horizontal="center" vertical="center" wrapText="1"/>
    </xf>
    <xf numFmtId="38" fontId="8" fillId="9" borderId="30" xfId="2" applyNumberFormat="1" applyFont="1" applyFill="1" applyBorder="1" applyAlignment="1">
      <alignment vertical="top"/>
    </xf>
    <xf numFmtId="38" fontId="8" fillId="9" borderId="31" xfId="2" applyNumberFormat="1" applyFont="1" applyFill="1" applyBorder="1" applyAlignment="1">
      <alignment vertical="top"/>
    </xf>
    <xf numFmtId="0" fontId="8" fillId="0" borderId="0" xfId="2" applyFont="1" applyAlignment="1">
      <alignment horizontal="right" vertical="top"/>
    </xf>
    <xf numFmtId="164" fontId="0" fillId="0" borderId="0" xfId="3" applyNumberFormat="1" applyFont="1" applyAlignment="1">
      <alignment horizontal="center" vertical="top"/>
    </xf>
    <xf numFmtId="0" fontId="6" fillId="0" borderId="0" xfId="2" applyFont="1" applyBorder="1">
      <alignment vertical="top"/>
    </xf>
    <xf numFmtId="38" fontId="8" fillId="0" borderId="0" xfId="2" applyNumberFormat="1" applyFont="1" applyBorder="1">
      <alignment vertical="top"/>
    </xf>
    <xf numFmtId="0" fontId="8" fillId="6" borderId="32" xfId="2" applyFont="1" applyFill="1" applyBorder="1" applyAlignment="1">
      <alignment horizontal="center" vertical="center" wrapText="1"/>
    </xf>
    <xf numFmtId="38" fontId="8" fillId="10" borderId="26" xfId="2" applyNumberFormat="1" applyFont="1" applyFill="1" applyBorder="1" applyAlignment="1">
      <alignment horizontal="center" vertical="center" wrapText="1"/>
    </xf>
    <xf numFmtId="38" fontId="8" fillId="11" borderId="1" xfId="2" applyNumberFormat="1" applyFont="1" applyFill="1" applyBorder="1" applyAlignment="1">
      <alignment horizontal="center" vertical="center" wrapText="1"/>
    </xf>
    <xf numFmtId="0" fontId="8" fillId="0" borderId="0" xfId="2" applyFont="1" applyBorder="1" applyAlignment="1">
      <alignment vertical="top" wrapText="1"/>
    </xf>
    <xf numFmtId="0" fontId="6" fillId="12" borderId="0" xfId="2" applyFill="1" applyBorder="1">
      <alignment vertical="top"/>
    </xf>
    <xf numFmtId="38" fontId="6" fillId="12" borderId="0" xfId="2" applyNumberFormat="1" applyFill="1" applyBorder="1">
      <alignment vertical="top"/>
    </xf>
    <xf numFmtId="38" fontId="6" fillId="12" borderId="0" xfId="2" applyNumberFormat="1" applyFill="1">
      <alignment vertical="top"/>
    </xf>
    <xf numFmtId="0" fontId="6" fillId="12" borderId="0" xfId="2" applyFill="1">
      <alignment vertical="top"/>
    </xf>
    <xf numFmtId="0" fontId="8" fillId="10" borderId="33" xfId="2" applyFont="1" applyFill="1" applyBorder="1" applyAlignment="1">
      <alignment horizontal="center" vertical="center" wrapText="1"/>
    </xf>
    <xf numFmtId="0" fontId="8" fillId="12" borderId="26" xfId="2" applyFont="1" applyFill="1" applyBorder="1" applyAlignment="1">
      <alignment horizontal="center" vertical="center" wrapText="1"/>
    </xf>
    <xf numFmtId="0" fontId="8" fillId="6" borderId="34" xfId="2" applyFont="1" applyFill="1" applyBorder="1" applyAlignment="1">
      <alignment horizontal="center" vertical="center" wrapText="1"/>
    </xf>
    <xf numFmtId="0" fontId="8" fillId="6" borderId="35" xfId="2" applyFont="1" applyFill="1" applyBorder="1" applyAlignment="1">
      <alignment horizontal="center" vertical="center" wrapText="1"/>
    </xf>
    <xf numFmtId="0" fontId="8" fillId="6" borderId="36" xfId="2" applyFont="1" applyFill="1" applyBorder="1" applyAlignment="1">
      <alignment horizontal="center" vertical="center" wrapText="1"/>
    </xf>
    <xf numFmtId="0" fontId="8" fillId="6" borderId="37" xfId="2" applyFont="1" applyFill="1" applyBorder="1" applyAlignment="1">
      <alignment horizontal="center" vertical="center" wrapText="1"/>
    </xf>
    <xf numFmtId="0" fontId="6" fillId="0" borderId="0" xfId="2" applyFill="1">
      <alignment vertical="top"/>
    </xf>
    <xf numFmtId="38" fontId="6" fillId="0" borderId="33" xfId="2" applyNumberFormat="1" applyFont="1" applyFill="1" applyBorder="1" applyAlignment="1">
      <alignment horizontal="center" vertical="center" wrapText="1"/>
    </xf>
    <xf numFmtId="38" fontId="8" fillId="14" borderId="30" xfId="2" applyNumberFormat="1" applyFont="1" applyFill="1" applyBorder="1" applyAlignment="1">
      <alignment horizontal="center" vertical="top"/>
    </xf>
    <xf numFmtId="164" fontId="6" fillId="0" borderId="30" xfId="3" applyNumberFormat="1" applyFont="1" applyFill="1" applyBorder="1" applyAlignment="1">
      <alignment horizontal="center" vertical="center" wrapText="1"/>
    </xf>
    <xf numFmtId="38" fontId="6" fillId="0" borderId="22" xfId="2" applyNumberFormat="1" applyFont="1" applyFill="1" applyBorder="1" applyAlignment="1">
      <alignment horizontal="center" vertical="center" wrapText="1"/>
    </xf>
    <xf numFmtId="38" fontId="8" fillId="14" borderId="31" xfId="2" applyNumberFormat="1" applyFont="1" applyFill="1" applyBorder="1" applyAlignment="1">
      <alignment horizontal="center" vertical="top"/>
    </xf>
    <xf numFmtId="164" fontId="6" fillId="0" borderId="31" xfId="3" applyNumberFormat="1" applyFont="1" applyFill="1" applyBorder="1" applyAlignment="1">
      <alignment horizontal="center" vertical="center" wrapText="1"/>
    </xf>
    <xf numFmtId="38" fontId="6" fillId="0" borderId="39" xfId="2" applyNumberFormat="1" applyFont="1" applyFill="1" applyBorder="1" applyAlignment="1">
      <alignment horizontal="center" vertical="center" wrapText="1"/>
    </xf>
    <xf numFmtId="164" fontId="6" fillId="0" borderId="28" xfId="3" applyNumberFormat="1" applyFont="1" applyFill="1" applyBorder="1" applyAlignment="1">
      <alignment horizontal="center" vertical="center" wrapText="1"/>
    </xf>
    <xf numFmtId="0" fontId="11" fillId="0" borderId="0" xfId="2" applyFont="1" applyAlignment="1">
      <alignment vertical="top"/>
    </xf>
    <xf numFmtId="38" fontId="8" fillId="15" borderId="39" xfId="2" applyNumberFormat="1" applyFont="1" applyFill="1" applyBorder="1" applyAlignment="1">
      <alignment horizontal="center" vertical="center" wrapText="1"/>
    </xf>
    <xf numFmtId="38" fontId="8" fillId="12" borderId="26" xfId="2" applyNumberFormat="1" applyFont="1" applyFill="1" applyBorder="1" applyAlignment="1">
      <alignment horizontal="center" vertical="top"/>
    </xf>
    <xf numFmtId="164" fontId="6" fillId="0" borderId="26" xfId="3" applyNumberFormat="1" applyFont="1" applyFill="1" applyBorder="1" applyAlignment="1">
      <alignment horizontal="center" vertical="center" wrapText="1"/>
    </xf>
    <xf numFmtId="38" fontId="8" fillId="2" borderId="41" xfId="2" applyNumberFormat="1" applyFont="1" applyFill="1" applyBorder="1" applyAlignment="1">
      <alignment horizontal="center" vertical="center" wrapText="1"/>
    </xf>
    <xf numFmtId="38" fontId="8" fillId="2" borderId="42" xfId="2" applyNumberFormat="1" applyFont="1" applyFill="1" applyBorder="1" applyAlignment="1">
      <alignment horizontal="center" vertical="center" wrapText="1"/>
    </xf>
    <xf numFmtId="40" fontId="6" fillId="0" borderId="0" xfId="2" applyNumberFormat="1">
      <alignment vertical="top"/>
    </xf>
    <xf numFmtId="0" fontId="12" fillId="0" borderId="0" xfId="2" applyFont="1" applyBorder="1" applyAlignment="1">
      <alignment horizontal="right" vertical="top"/>
    </xf>
    <xf numFmtId="38" fontId="12" fillId="0" borderId="33" xfId="2" applyNumberFormat="1" applyFont="1" applyBorder="1" applyAlignment="1">
      <alignment horizontal="center" vertical="top"/>
    </xf>
    <xf numFmtId="10" fontId="12" fillId="0" borderId="34" xfId="3" applyNumberFormat="1" applyFont="1" applyFill="1" applyBorder="1" applyAlignment="1">
      <alignment horizontal="center" vertical="top"/>
    </xf>
    <xf numFmtId="38" fontId="6" fillId="0" borderId="38" xfId="2" applyNumberFormat="1" applyFill="1" applyBorder="1" applyAlignment="1">
      <alignment vertical="top"/>
    </xf>
    <xf numFmtId="38" fontId="12" fillId="0" borderId="39" xfId="2" applyNumberFormat="1" applyFont="1" applyBorder="1" applyAlignment="1">
      <alignment horizontal="center" vertical="top"/>
    </xf>
    <xf numFmtId="38" fontId="8" fillId="14" borderId="28" xfId="2" applyNumberFormat="1" applyFont="1" applyFill="1" applyBorder="1" applyAlignment="1">
      <alignment horizontal="center" vertical="top"/>
    </xf>
    <xf numFmtId="10" fontId="12" fillId="0" borderId="27" xfId="3" applyNumberFormat="1" applyFont="1" applyFill="1" applyBorder="1" applyAlignment="1">
      <alignment horizontal="center" vertical="top"/>
    </xf>
    <xf numFmtId="38" fontId="6" fillId="0" borderId="0" xfId="2" applyNumberFormat="1" applyFill="1" applyBorder="1" applyAlignment="1">
      <alignment vertical="top"/>
    </xf>
    <xf numFmtId="38" fontId="8" fillId="12" borderId="43" xfId="2" applyNumberFormat="1" applyFont="1" applyFill="1" applyBorder="1" applyAlignment="1">
      <alignment horizontal="center" vertical="top"/>
    </xf>
    <xf numFmtId="10" fontId="12" fillId="16" borderId="39" xfId="3" applyNumberFormat="1" applyFont="1" applyFill="1" applyBorder="1" applyAlignment="1">
      <alignment horizontal="center" vertical="center" wrapText="1"/>
    </xf>
    <xf numFmtId="38" fontId="8" fillId="2" borderId="1" xfId="2" applyNumberFormat="1" applyFont="1" applyFill="1" applyBorder="1" applyAlignment="1">
      <alignment vertical="center" wrapText="1"/>
    </xf>
    <xf numFmtId="38" fontId="8" fillId="2" borderId="2" xfId="2" applyNumberFormat="1" applyFont="1" applyFill="1" applyBorder="1" applyAlignment="1">
      <alignment vertical="center" wrapText="1"/>
    </xf>
    <xf numFmtId="38" fontId="8" fillId="2" borderId="3" xfId="2" applyNumberFormat="1" applyFont="1" applyFill="1" applyBorder="1" applyAlignment="1">
      <alignment vertical="center" wrapText="1"/>
    </xf>
    <xf numFmtId="0" fontId="8" fillId="6" borderId="29" xfId="2" applyFont="1" applyFill="1" applyBorder="1" applyAlignment="1">
      <alignment horizontal="center" vertical="center" wrapText="1"/>
    </xf>
    <xf numFmtId="0" fontId="8" fillId="6" borderId="2" xfId="2" applyFont="1" applyFill="1" applyBorder="1" applyAlignment="1">
      <alignment horizontal="center" vertical="center" wrapText="1"/>
    </xf>
    <xf numFmtId="0" fontId="11" fillId="0" borderId="0" xfId="2" applyFont="1" applyBorder="1" applyAlignment="1">
      <alignment vertical="top"/>
    </xf>
    <xf numFmtId="0" fontId="8" fillId="2" borderId="1" xfId="2" applyFont="1" applyFill="1" applyBorder="1" applyAlignment="1">
      <alignment horizontal="center" vertical="center" wrapText="1"/>
    </xf>
    <xf numFmtId="38" fontId="8" fillId="2" borderId="2" xfId="2" applyNumberFormat="1" applyFont="1" applyFill="1" applyBorder="1" applyAlignment="1">
      <alignment horizontal="center" vertical="center" wrapText="1"/>
    </xf>
    <xf numFmtId="38" fontId="6" fillId="0" borderId="0" xfId="2" applyNumberFormat="1" applyFill="1" applyBorder="1">
      <alignment vertical="top"/>
    </xf>
    <xf numFmtId="0" fontId="8" fillId="0" borderId="0" xfId="2" applyFont="1" applyAlignment="1">
      <alignment horizontal="left" vertical="top"/>
    </xf>
    <xf numFmtId="40" fontId="6" fillId="0" borderId="0" xfId="2" applyNumberFormat="1" applyFill="1" applyBorder="1">
      <alignment vertical="top"/>
    </xf>
    <xf numFmtId="0" fontId="8" fillId="2" borderId="26" xfId="2" applyFont="1" applyFill="1" applyBorder="1" applyAlignment="1">
      <alignment horizontal="center" vertical="center" wrapText="1"/>
    </xf>
    <xf numFmtId="40" fontId="8" fillId="2" borderId="25" xfId="2" applyNumberFormat="1" applyFont="1" applyFill="1" applyBorder="1" applyAlignment="1">
      <alignment horizontal="center" vertical="center" wrapText="1"/>
    </xf>
    <xf numFmtId="0" fontId="13" fillId="0" borderId="0" xfId="2" applyFont="1" applyAlignment="1">
      <alignment horizontal="right" vertical="top"/>
    </xf>
    <xf numFmtId="38" fontId="6" fillId="0" borderId="0" xfId="2" applyNumberFormat="1" applyAlignment="1">
      <alignment horizontal="right" vertical="top"/>
    </xf>
    <xf numFmtId="40" fontId="8" fillId="0" borderId="0" xfId="2" applyNumberFormat="1" applyFont="1">
      <alignment vertical="top"/>
    </xf>
    <xf numFmtId="10" fontId="0" fillId="0" borderId="0" xfId="3" applyNumberFormat="1" applyFont="1" applyAlignment="1">
      <alignment horizontal="left" vertical="top"/>
    </xf>
    <xf numFmtId="40" fontId="8" fillId="2" borderId="1" xfId="2" applyNumberFormat="1" applyFont="1" applyFill="1" applyBorder="1" applyAlignment="1">
      <alignment horizontal="center" vertical="center" wrapText="1"/>
    </xf>
    <xf numFmtId="38" fontId="8" fillId="2" borderId="3" xfId="2" applyNumberFormat="1" applyFont="1" applyFill="1" applyBorder="1" applyAlignment="1">
      <alignment horizontal="right" vertical="center" wrapText="1"/>
    </xf>
    <xf numFmtId="38" fontId="8" fillId="2" borderId="3" xfId="2" applyNumberFormat="1" applyFont="1" applyFill="1" applyBorder="1" applyAlignment="1">
      <alignment horizontal="center" vertical="center" wrapText="1"/>
    </xf>
    <xf numFmtId="5" fontId="6" fillId="0" borderId="0" xfId="2" applyNumberFormat="1">
      <alignment vertical="top"/>
    </xf>
    <xf numFmtId="38" fontId="6" fillId="0" borderId="0" xfId="2" applyNumberFormat="1" applyAlignment="1">
      <alignment vertical="top" wrapText="1"/>
    </xf>
    <xf numFmtId="0" fontId="8" fillId="0" borderId="0" xfId="2" applyFont="1" applyBorder="1">
      <alignment vertical="top"/>
    </xf>
    <xf numFmtId="40" fontId="6" fillId="0" borderId="0" xfId="2" applyNumberFormat="1" applyFill="1">
      <alignment vertical="top"/>
    </xf>
    <xf numFmtId="38" fontId="6" fillId="0" borderId="38" xfId="2" applyNumberFormat="1" applyFont="1" applyFill="1" applyBorder="1" applyAlignment="1">
      <alignment vertical="center" wrapText="1"/>
    </xf>
    <xf numFmtId="38" fontId="6" fillId="0" borderId="0" xfId="2" applyNumberFormat="1" applyFont="1" applyFill="1" applyBorder="1" applyAlignment="1">
      <alignment vertical="center" wrapText="1"/>
    </xf>
    <xf numFmtId="38" fontId="6" fillId="0" borderId="40" xfId="2" applyNumberFormat="1" applyFont="1" applyFill="1" applyBorder="1" applyAlignment="1">
      <alignment vertical="center" wrapText="1"/>
    </xf>
    <xf numFmtId="40" fontId="3" fillId="0" borderId="0" xfId="0" applyNumberFormat="1" applyFont="1"/>
    <xf numFmtId="40" fontId="3" fillId="0" borderId="0" xfId="0" applyNumberFormat="1" applyFont="1" applyAlignment="1">
      <alignment vertical="center"/>
    </xf>
    <xf numFmtId="40" fontId="0" fillId="0" borderId="0" xfId="0" applyNumberFormat="1"/>
    <xf numFmtId="10" fontId="3" fillId="0" borderId="0" xfId="1" applyNumberFormat="1" applyFont="1"/>
    <xf numFmtId="10" fontId="6" fillId="0" borderId="0" xfId="1" applyNumberFormat="1" applyFont="1" applyFill="1" applyAlignment="1">
      <alignment vertical="top"/>
    </xf>
    <xf numFmtId="10" fontId="6" fillId="0" borderId="0" xfId="1" applyNumberFormat="1" applyFont="1" applyAlignment="1">
      <alignment vertical="top"/>
    </xf>
    <xf numFmtId="40" fontId="6" fillId="0" borderId="0" xfId="2" applyNumberFormat="1" applyAlignment="1">
      <alignment vertical="top" wrapText="1"/>
    </xf>
    <xf numFmtId="0" fontId="8" fillId="0" borderId="0" xfId="2" applyFont="1" applyAlignment="1">
      <alignment vertical="top"/>
    </xf>
    <xf numFmtId="0" fontId="8" fillId="0" borderId="0" xfId="2" applyFont="1" applyAlignment="1">
      <alignment vertical="top" wrapText="1"/>
    </xf>
    <xf numFmtId="0" fontId="14" fillId="0" borderId="9" xfId="0" applyFont="1" applyFill="1" applyBorder="1" applyAlignment="1">
      <alignment horizontal="right" vertical="center"/>
    </xf>
    <xf numFmtId="40" fontId="6" fillId="0" borderId="0" xfId="1" applyNumberFormat="1" applyFont="1" applyFill="1" applyAlignment="1">
      <alignment vertical="top"/>
    </xf>
    <xf numFmtId="38" fontId="0" fillId="0" borderId="0" xfId="0" applyNumberFormat="1"/>
    <xf numFmtId="40" fontId="11" fillId="0" borderId="0" xfId="2" applyNumberFormat="1" applyFont="1" applyAlignment="1">
      <alignment vertical="top"/>
    </xf>
    <xf numFmtId="40" fontId="3" fillId="0" borderId="0" xfId="0" applyNumberFormat="1" applyFont="1" applyFill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8" fillId="0" borderId="0" xfId="2" applyFont="1" applyAlignment="1">
      <alignment horizontal="left" vertical="top"/>
    </xf>
    <xf numFmtId="0" fontId="8" fillId="4" borderId="23" xfId="2" applyFont="1" applyFill="1" applyBorder="1" applyAlignment="1">
      <alignment horizontal="center" vertical="top"/>
    </xf>
    <xf numFmtId="0" fontId="8" fillId="4" borderId="25" xfId="2" applyFont="1" applyFill="1" applyBorder="1" applyAlignment="1">
      <alignment horizontal="center" vertical="top"/>
    </xf>
    <xf numFmtId="0" fontId="7" fillId="4" borderId="23" xfId="2" applyFont="1" applyFill="1" applyBorder="1" applyAlignment="1">
      <alignment horizontal="center" vertical="top"/>
    </xf>
    <xf numFmtId="0" fontId="7" fillId="4" borderId="24" xfId="2" applyFont="1" applyFill="1" applyBorder="1" applyAlignment="1">
      <alignment horizontal="center" vertical="top"/>
    </xf>
    <xf numFmtId="0" fontId="7" fillId="4" borderId="25" xfId="2" applyFont="1" applyFill="1" applyBorder="1" applyAlignment="1">
      <alignment horizontal="center" vertical="top"/>
    </xf>
    <xf numFmtId="0" fontId="8" fillId="5" borderId="22" xfId="2" applyFont="1" applyFill="1" applyBorder="1" applyAlignment="1">
      <alignment horizontal="center" vertical="top"/>
    </xf>
    <xf numFmtId="0" fontId="8" fillId="5" borderId="0" xfId="2" applyFont="1" applyFill="1" applyBorder="1" applyAlignment="1">
      <alignment horizontal="center" vertical="top"/>
    </xf>
    <xf numFmtId="0" fontId="8" fillId="0" borderId="0" xfId="2" applyFont="1" applyBorder="1" applyAlignment="1">
      <alignment horizontal="left" vertical="top" wrapText="1"/>
    </xf>
    <xf numFmtId="0" fontId="8" fillId="13" borderId="23" xfId="2" applyFont="1" applyFill="1" applyBorder="1" applyAlignment="1">
      <alignment horizontal="center" vertical="top"/>
    </xf>
    <xf numFmtId="0" fontId="8" fillId="13" borderId="24" xfId="2" applyFont="1" applyFill="1" applyBorder="1" applyAlignment="1">
      <alignment horizontal="center" vertical="top"/>
    </xf>
    <xf numFmtId="0" fontId="8" fillId="13" borderId="25" xfId="2" applyFont="1" applyFill="1" applyBorder="1" applyAlignment="1">
      <alignment horizontal="center" vertical="top"/>
    </xf>
  </cellXfs>
  <cellStyles count="4">
    <cellStyle name="Normal" xfId="0" builtinId="0"/>
    <cellStyle name="Normal 2" xfId="2"/>
    <cellStyle name="Percent" xfId="1" builtinId="5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sharedStrings" Target="sharedStrings.xml"/><Relationship Id="rId3" Type="http://schemas.openxmlformats.org/officeDocument/2006/relationships/chartsheet" Target="chartsheets/sheet1.xml"/><Relationship Id="rId7" Type="http://schemas.openxmlformats.org/officeDocument/2006/relationships/worksheet" Target="worksheets/sheet3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4.xml"/><Relationship Id="rId11" Type="http://schemas.openxmlformats.org/officeDocument/2006/relationships/theme" Target="theme/theme1.xml"/><Relationship Id="rId5" Type="http://schemas.openxmlformats.org/officeDocument/2006/relationships/chartsheet" Target="chartsheets/sheet3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6.xml"/><Relationship Id="rId4" Type="http://schemas.openxmlformats.org/officeDocument/2006/relationships/chartsheet" Target="chartsheets/sheet2.xml"/><Relationship Id="rId9" Type="http://schemas.openxmlformats.org/officeDocument/2006/relationships/worksheet" Target="worksheets/sheet5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/>
              <a:t>FY2023
DeKalb County School District        
YTD Expense Budget vs Actual</a:t>
            </a:r>
          </a:p>
        </c:rich>
      </c:tx>
      <c:layout>
        <c:manualLayout>
          <c:xMode val="edge"/>
          <c:yMode val="edge"/>
          <c:x val="0.34882954170788"/>
          <c:y val="1.940491591203104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view3D>
      <c:rotX val="40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334322453016815"/>
          <c:y val="0.32304766252044581"/>
          <c:w val="0.55588526211671607"/>
          <c:h val="0.54592496765847343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BD16-4551-B416-74AF4DCF2D26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CCFFCC"/>
                  </a:gs>
                  <a:gs pos="100000">
                    <a:srgbClr val="008000"/>
                  </a:gs>
                </a:gsLst>
                <a:lin ang="189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BD16-4551-B416-74AF4DCF2D26}"/>
              </c:ext>
            </c:extLst>
          </c:dPt>
          <c:dLbls>
            <c:dLbl>
              <c:idx val="0"/>
              <c:layout>
                <c:manualLayout>
                  <c:x val="1.3338914380938094E-2"/>
                  <c:y val="-3.7887357531557184E-2"/>
                </c:manualLayout>
              </c:layout>
              <c:numFmt formatCode="0.0%" sourceLinked="0"/>
              <c:spPr>
                <a:solidFill>
                  <a:srgbClr val="9999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145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BD16-4551-B416-74AF4DCF2D26}"/>
                </c:ext>
                <c:ext xmlns:c15="http://schemas.microsoft.com/office/drawing/2012/chart" uri="{CE6537A1-D6FC-4f65-9D91-7224C49458BB}">
                  <c15:layout>
                    <c:manualLayout>
                      <c:w val="0.26520980263625521"/>
                      <c:h val="8.0784558469160953E-2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-6.1810628736603507E-2"/>
                  <c:y val="-2.7415504250518245E-2"/>
                </c:manualLayout>
              </c:layout>
              <c:numFmt formatCode="0.0%" sourceLinked="0"/>
              <c:spPr>
                <a:solidFill>
                  <a:srgbClr val="CCFFCC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145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BD16-4551-B416-74AF4DCF2D26}"/>
                </c:ext>
                <c:ext xmlns:c15="http://schemas.microsoft.com/office/drawing/2012/chart" uri="{CE6537A1-D6FC-4f65-9D91-7224C49458BB}">
                  <c15:layout>
                    <c:manualLayout>
                      <c:w val="0.25704652013784135"/>
                      <c:h val="9.5730834174129822E-2"/>
                    </c:manualLayout>
                  </c15:layout>
                </c:ext>
              </c:extLst>
            </c:dLbl>
            <c:numFmt formatCode="0.0%" sourceLinked="0"/>
            <c:spPr>
              <a:solidFill>
                <a:srgbClr val="99CC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/>
              <a:lstStyle/>
              <a:p>
                <a:pPr>
                  <a:defRPr sz="145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 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'DATA for CHARTS (2023)'!$A$15:$A$16</c:f>
              <c:strCache>
                <c:ptCount val="2"/>
                <c:pt idx="0">
                  <c:v>UNEXPENDED BUDGET</c:v>
                </c:pt>
                <c:pt idx="1">
                  <c:v>YTD EXPENSE</c:v>
                </c:pt>
              </c:strCache>
            </c:strRef>
          </c:cat>
          <c:val>
            <c:numRef>
              <c:f>'DATA for CHARTS (2023)'!$B$15:$B$16</c:f>
              <c:numCache>
                <c:formatCode>"$"#,##0_);\("$"#,##0\)</c:formatCode>
                <c:ptCount val="2"/>
                <c:pt idx="0">
                  <c:v>95531752.059995413</c:v>
                </c:pt>
                <c:pt idx="1">
                  <c:v>1229831228.1600046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D16-4551-B416-74AF4DCF2D26}"/>
            </c:ext>
          </c:extLst>
        </c:ser>
        <c:ser>
          <c:idx val="1"/>
          <c:order val="1"/>
          <c:cat>
            <c:strRef>
              <c:f>'DATA for CHARTS (2023)'!$B$27</c:f>
              <c:strCache>
                <c:ptCount val="1"/>
                <c:pt idx="0">
                  <c:v>TOTAL GENERAL OPERATIONS BUDGET
$1,325,362,980</c:v>
                </c:pt>
              </c:strCache>
            </c:strRef>
          </c:cat>
          <c:val>
            <c:numRef>
              <c:f>'DATA for CHARTS (2023)'!$C$27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cat>
            <c:strRef>
              <c:f>'DATA for CHARTS (2023)'!$B$27</c:f>
              <c:strCache>
                <c:ptCount val="1"/>
                <c:pt idx="0">
                  <c:v>TOTAL GENERAL OPERATIONS BUDGET
$1,325,362,980</c:v>
                </c:pt>
              </c:strCache>
            </c:strRef>
          </c:cat>
          <c:val>
            <c:numRef>
              <c:f>'DATA for CHARTS (2023)'!$D$27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cat>
            <c:strRef>
              <c:f>'DATA for CHARTS (2023)'!$B$27</c:f>
              <c:strCache>
                <c:ptCount val="1"/>
                <c:pt idx="0">
                  <c:v>TOTAL GENERAL OPERATIONS BUDGET
$1,325,362,980</c:v>
                </c:pt>
              </c:strCache>
            </c:strRef>
          </c:cat>
          <c:val>
            <c:numRef>
              <c:f>'DATA for CHARTS (2023)'!$E$27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cat>
            <c:strRef>
              <c:f>'DATA for CHARTS (2023)'!$B$27</c:f>
              <c:strCache>
                <c:ptCount val="1"/>
                <c:pt idx="0">
                  <c:v>TOTAL GENERAL OPERATIONS BUDGET
$1,325,362,980</c:v>
                </c:pt>
              </c:strCache>
            </c:strRef>
          </c:cat>
          <c:val>
            <c:numRef>
              <c:f>'DATA for CHARTS (2023)'!$F$27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4819587371036997"/>
          <c:y val="0.9261519258573524"/>
          <c:w val="0.33272226127200499"/>
          <c:h val="3.39785806040817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zero"/>
    <c:showDLblsOverMax val="0"/>
  </c:chart>
  <c:spPr>
    <a:gradFill rotWithShape="0">
      <a:gsLst>
        <a:gs pos="0">
          <a:srgbClr val="FFCC99"/>
        </a:gs>
        <a:gs pos="100000">
          <a:srgbClr val="99CCFF"/>
        </a:gs>
      </a:gsLst>
      <a:lin ang="2700000" scaled="1"/>
    </a:gra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/>
              <a:t>FY2023
DeKalb County School District        
YTD Expense</a:t>
            </a:r>
            <a:r>
              <a:rPr lang="en-US" sz="2000" b="1" baseline="0"/>
              <a:t> </a:t>
            </a:r>
            <a:r>
              <a:rPr lang="en-US" sz="2000" b="1"/>
              <a:t>Actuals by Function</a:t>
            </a:r>
          </a:p>
        </c:rich>
      </c:tx>
      <c:layout>
        <c:manualLayout>
          <c:xMode val="edge"/>
          <c:yMode val="edge"/>
          <c:x val="0.32743205995940577"/>
          <c:y val="2.12855339485949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2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4061212508917829"/>
          <c:y val="0.25536613988131596"/>
          <c:w val="0.60185070825878317"/>
          <c:h val="0.59015601310705723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8EC-4FE6-8A7F-A4E3726004C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8EC-4FE6-8A7F-A4E3726004C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8EC-4FE6-8A7F-A4E3726004C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28EC-4FE6-8A7F-A4E3726004C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28EC-4FE6-8A7F-A4E3726004C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28EC-4FE6-8A7F-A4E3726004C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28EC-4FE6-8A7F-A4E3726004C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28EC-4FE6-8A7F-A4E3726004C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28EC-4FE6-8A7F-A4E3726004C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28EC-4FE6-8A7F-A4E3726004C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28EC-4FE6-8A7F-A4E3726004C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28EC-4FE6-8A7F-A4E3726004C7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28EC-4FE6-8A7F-A4E3726004C7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28EC-4FE6-8A7F-A4E3726004C7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28EC-4FE6-8A7F-A4E3726004C7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>
                <c:manualLayout>
                  <c:x val="0.10346446162634881"/>
                  <c:y val="-4.5661073042879557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24536938900691571"/>
                      <c:h val="4.8218147625763978E-2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4.1941467446960305E-2"/>
                  <c:y val="-7.6391946070210964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4742221414900872"/>
                      <c:h val="6.8904560413728264E-2"/>
                    </c:manualLayout>
                  </c15:layout>
                </c:ext>
              </c:extLst>
            </c:dLbl>
            <c:dLbl>
              <c:idx val="2"/>
              <c:layout>
                <c:manualLayout>
                  <c:x val="9.7784903266229128E-2"/>
                  <c:y val="-4.521841639015730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758924016142917"/>
                      <c:h val="7.7968970380818056E-2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8.8749713708053291E-2"/>
                  <c:y val="3.469629044057723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7.3553995319291104E-2"/>
                  <c:y val="8.8678076030340919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7.9569732820508762E-2"/>
                  <c:y val="0.13382280317922177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211582253321642"/>
                      <c:h val="5.4246674736884964E-2"/>
                    </c:manualLayout>
                  </c15:layout>
                </c:ext>
              </c:extLst>
            </c:dLbl>
            <c:dLbl>
              <c:idx val="6"/>
              <c:layout>
                <c:manualLayout>
                  <c:x val="1.299504813653559E-2"/>
                  <c:y val="5.0469368338830707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9165643913367397"/>
                      <c:h val="5.9250062007411272E-2"/>
                    </c:manualLayout>
                  </c15:layout>
                </c:ext>
              </c:extLst>
            </c:dLbl>
            <c:dLbl>
              <c:idx val="7"/>
              <c:layout>
                <c:manualLayout>
                  <c:x val="2.0309379582316503E-2"/>
                  <c:y val="4.5998171244109161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8524908057505848"/>
                      <c:h val="7.2843419255244721E-2"/>
                    </c:manualLayout>
                  </c15:layout>
                </c:ext>
              </c:extLst>
            </c:dLbl>
            <c:dLbl>
              <c:idx val="8"/>
              <c:layout>
                <c:manualLayout>
                  <c:x val="-0.10481200334431752"/>
                  <c:y val="0.11211895673769301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22005386237452515"/>
                      <c:h val="6.8548878498791321E-2"/>
                    </c:manualLayout>
                  </c15:layout>
                </c:ext>
              </c:extLst>
            </c:dLbl>
            <c:dLbl>
              <c:idx val="9"/>
              <c:layout>
                <c:manualLayout>
                  <c:x val="-1.6409543591404133E-2"/>
                  <c:y val="0.13437535399753436"/>
                </c:manualLayout>
              </c:layout>
              <c:tx>
                <c:rich>
                  <a:bodyPr/>
                  <a:lstStyle/>
                  <a:p>
                    <a:fld id="{7F3BF172-F49C-45B6-96F5-277323D547B1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, </a:t>
                    </a:r>
                    <a:fld id="{FFB2650D-D0F0-417F-92C0-19A8CCA75EE1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, </a:t>
                    </a:r>
                    <a:fld id="{8D2D2E9B-6CBE-4EE8-A3C5-17756E8510A2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28EC-4FE6-8A7F-A4E3726004C7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0"/>
              <c:layout>
                <c:manualLayout>
                  <c:x val="-7.2480959940188138E-3"/>
                  <c:y val="0.1156219435899143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4.5264454781667837E-2"/>
                  <c:y val="-0.16112168630543186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8068283590930267"/>
                      <c:h val="6.2362797034009675E-2"/>
                    </c:manualLayout>
                  </c15:layout>
                </c:ext>
              </c:extLst>
            </c:dLbl>
            <c:dLbl>
              <c:idx val="12"/>
              <c:layout>
                <c:manualLayout>
                  <c:x val="-4.4801069876295556E-2"/>
                  <c:y val="-5.6875344742697079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9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8890003343363423"/>
                      <c:h val="5.9708509637987774E-2"/>
                    </c:manualLayout>
                  </c15:layout>
                </c:ext>
              </c:extLst>
            </c:dLbl>
            <c:dLbl>
              <c:idx val="13"/>
              <c:layout>
                <c:manualLayout>
                  <c:x val="-1.9030319304369808E-2"/>
                  <c:y val="7.1608009506569079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7.4990641214983528E-2"/>
                  <c:y val="9.0624339064617598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B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6.856422285228389E-2"/>
                  <c:y val="-0.11002298901635885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D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12700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'DATA for CHARTS (2023)'!$D$9:$D$24</c:f>
              <c:strCache>
                <c:ptCount val="16"/>
                <c:pt idx="0">
                  <c:v>   INSTRUCTION</c:v>
                </c:pt>
                <c:pt idx="1">
                  <c:v>   PUPIL SERVICES</c:v>
                </c:pt>
                <c:pt idx="2">
                  <c:v>   IMPROVEMENT OF INSTRUCTIONAL SERVICES</c:v>
                </c:pt>
                <c:pt idx="3">
                  <c:v>   INSTRUCTIONAL STAFF TRAINING</c:v>
                </c:pt>
                <c:pt idx="4">
                  <c:v>   EDUCATIONAL MEDIA SERVICES</c:v>
                </c:pt>
                <c:pt idx="5">
                  <c:v>   GENERAL ADMINISTRATION</c:v>
                </c:pt>
                <c:pt idx="6">
                  <c:v>   SCHOOL ADMINISTRATION</c:v>
                </c:pt>
                <c:pt idx="7">
                  <c:v>   SUPPORT SERVICES - BUSINESS</c:v>
                </c:pt>
                <c:pt idx="8">
                  <c:v>   MAINTENANCE AND OPERATION</c:v>
                </c:pt>
                <c:pt idx="9">
                  <c:v>   STUDENT TRANSPORTATION SERVICE</c:v>
                </c:pt>
                <c:pt idx="10">
                  <c:v>   SUPPORT SERVICES - CENTRAL</c:v>
                </c:pt>
                <c:pt idx="11">
                  <c:v>   OTHER SUPPORT SERVICES</c:v>
                </c:pt>
                <c:pt idx="12">
                  <c:v>   SCHOOL NUTRITION PROGRAM</c:v>
                </c:pt>
                <c:pt idx="13">
                  <c:v>   ENTERPRISE OPERATIONS</c:v>
                </c:pt>
                <c:pt idx="14">
                  <c:v>   TRANSFERS &amp; OTHER OUTLAYS</c:v>
                </c:pt>
                <c:pt idx="15">
                  <c:v>   DEBT SERVICE</c:v>
                </c:pt>
              </c:strCache>
            </c:strRef>
          </c:cat>
          <c:val>
            <c:numRef>
              <c:f>'DATA for CHARTS (2023)'!$E$9:$E$24</c:f>
              <c:numCache>
                <c:formatCode>#,##0_);[Red]\(#,##0\)</c:formatCode>
                <c:ptCount val="16"/>
                <c:pt idx="0">
                  <c:v>770720806.98000479</c:v>
                </c:pt>
                <c:pt idx="1">
                  <c:v>71163052.009999901</c:v>
                </c:pt>
                <c:pt idx="2">
                  <c:v>15152045.269999981</c:v>
                </c:pt>
                <c:pt idx="3">
                  <c:v>278565.35000000021</c:v>
                </c:pt>
                <c:pt idx="4">
                  <c:v>13397234.870000018</c:v>
                </c:pt>
                <c:pt idx="5">
                  <c:v>40136991.229999982</c:v>
                </c:pt>
                <c:pt idx="6">
                  <c:v>77694652.689999849</c:v>
                </c:pt>
                <c:pt idx="7">
                  <c:v>14534317.299999997</c:v>
                </c:pt>
                <c:pt idx="8">
                  <c:v>132599896.12</c:v>
                </c:pt>
                <c:pt idx="9">
                  <c:v>64355166.920000017</c:v>
                </c:pt>
                <c:pt idx="10">
                  <c:v>27419117.579999972</c:v>
                </c:pt>
                <c:pt idx="11">
                  <c:v>1094931.4999999998</c:v>
                </c:pt>
                <c:pt idx="12">
                  <c:v>859861.58999999939</c:v>
                </c:pt>
                <c:pt idx="13">
                  <c:v>4588.75</c:v>
                </c:pt>
                <c:pt idx="14">
                  <c:v>420000</c:v>
                </c:pt>
                <c:pt idx="1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E-28EC-4FE6-8A7F-A4E3726004C7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0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$1,229,831,228</c:v>
                </c:pt>
              </c:strCache>
            </c:strRef>
          </c:cat>
          <c:val>
            <c:numRef>
              <c:f>'DATA for CHARTS (2023)'!$C$29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1-28EC-4FE6-8A7F-A4E3726004C7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3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$1,229,831,228</c:v>
                </c:pt>
              </c:strCache>
            </c:strRef>
          </c:cat>
          <c:val>
            <c:numRef>
              <c:f>'DATA for CHARTS (2023)'!$D$29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4-28EC-4FE6-8A7F-A4E3726004C7}"/>
            </c:ext>
          </c:extLst>
        </c:ser>
        <c:ser>
          <c:idx val="3"/>
          <c:order val="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6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$1,229,831,228</c:v>
                </c:pt>
              </c:strCache>
            </c:strRef>
          </c:cat>
          <c:val>
            <c:numRef>
              <c:f>'DATA for CHARTS (2023)'!$E$29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7-28EC-4FE6-8A7F-A4E3726004C7}"/>
            </c:ext>
          </c:extLst>
        </c:ser>
        <c:ser>
          <c:idx val="4"/>
          <c:order val="4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9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$1,229,831,228</c:v>
                </c:pt>
              </c:strCache>
            </c:strRef>
          </c:cat>
          <c:val>
            <c:numRef>
              <c:f>'DATA for CHARTS (2023)'!$F$29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A-28EC-4FE6-8A7F-A4E3726004C7}"/>
            </c:ext>
          </c:extLst>
        </c:ser>
        <c:ser>
          <c:idx val="5"/>
          <c:order val="5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C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$1,229,831,228</c:v>
                </c:pt>
              </c:strCache>
            </c:strRef>
          </c:cat>
          <c:val>
            <c:numRef>
              <c:f>'DATA for CHARTS (2023)'!$C$29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D-28EC-4FE6-8A7F-A4E3726004C7}"/>
            </c:ext>
          </c:extLst>
        </c:ser>
        <c:ser>
          <c:idx val="6"/>
          <c:order val="6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F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$1,229,831,228</c:v>
                </c:pt>
              </c:strCache>
            </c:strRef>
          </c:cat>
          <c:val>
            <c:numRef>
              <c:f>'DATA for CHARTS (2023)'!$D$29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0-28EC-4FE6-8A7F-A4E3726004C7}"/>
            </c:ext>
          </c:extLst>
        </c:ser>
        <c:ser>
          <c:idx val="7"/>
          <c:order val="7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2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$1,229,831,228</c:v>
                </c:pt>
              </c:strCache>
            </c:strRef>
          </c:cat>
          <c:val>
            <c:numRef>
              <c:f>'DATA for CHARTS (2023)'!$E$29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3-28EC-4FE6-8A7F-A4E3726004C7}"/>
            </c:ext>
          </c:extLst>
        </c:ser>
        <c:ser>
          <c:idx val="8"/>
          <c:order val="8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5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$1,229,831,228</c:v>
                </c:pt>
              </c:strCache>
            </c:strRef>
          </c:cat>
          <c:val>
            <c:numRef>
              <c:f>'DATA for CHARTS (2023)'!$F$29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6-28EC-4FE6-8A7F-A4E3726004C7}"/>
            </c:ext>
          </c:extLst>
        </c:ser>
        <c:ser>
          <c:idx val="9"/>
          <c:order val="9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8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$1,229,831,228</c:v>
                </c:pt>
              </c:strCache>
            </c:strRef>
          </c:cat>
          <c:val>
            <c:numRef>
              <c:f>'DATA for CHARTS (2023)'!$C$29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9-28EC-4FE6-8A7F-A4E3726004C7}"/>
            </c:ext>
          </c:extLst>
        </c:ser>
        <c:ser>
          <c:idx val="10"/>
          <c:order val="1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B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$1,229,831,228</c:v>
                </c:pt>
              </c:strCache>
            </c:strRef>
          </c:cat>
          <c:val>
            <c:numRef>
              <c:f>'DATA for CHARTS (2023)'!$D$29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C-28EC-4FE6-8A7F-A4E3726004C7}"/>
            </c:ext>
          </c:extLst>
        </c:ser>
        <c:ser>
          <c:idx val="11"/>
          <c:order val="1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E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$1,229,831,228</c:v>
                </c:pt>
              </c:strCache>
            </c:strRef>
          </c:cat>
          <c:val>
            <c:numRef>
              <c:f>'DATA for CHARTS (2023)'!$E$29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F-28EC-4FE6-8A7F-A4E3726004C7}"/>
            </c:ext>
          </c:extLst>
        </c:ser>
        <c:ser>
          <c:idx val="12"/>
          <c:order val="1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1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$1,229,831,228</c:v>
                </c:pt>
              </c:strCache>
            </c:strRef>
          </c:cat>
          <c:val>
            <c:numRef>
              <c:f>'DATA for CHARTS (2023)'!$F$29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2-28EC-4FE6-8A7F-A4E3726004C7}"/>
            </c:ext>
          </c:extLst>
        </c:ser>
        <c:ser>
          <c:idx val="13"/>
          <c:order val="1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4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$1,229,831,228</c:v>
                </c:pt>
              </c:strCache>
            </c:strRef>
          </c:cat>
          <c:val>
            <c:numRef>
              <c:f>'DATA for CHARTS (2023)'!$C$29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5-28EC-4FE6-8A7F-A4E3726004C7}"/>
            </c:ext>
          </c:extLst>
        </c:ser>
        <c:ser>
          <c:idx val="14"/>
          <c:order val="14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7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$1,229,831,228</c:v>
                </c:pt>
              </c:strCache>
            </c:strRef>
          </c:cat>
          <c:val>
            <c:numRef>
              <c:f>'DATA for CHARTS (2023)'!$D$29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8-28EC-4FE6-8A7F-A4E3726004C7}"/>
            </c:ext>
          </c:extLst>
        </c:ser>
        <c:ser>
          <c:idx val="15"/>
          <c:order val="15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A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$1,229,831,228</c:v>
                </c:pt>
              </c:strCache>
            </c:strRef>
          </c:cat>
          <c:val>
            <c:numRef>
              <c:f>'DATA for CHARTS (2023)'!$E$29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B-28EC-4FE6-8A7F-A4E3726004C7}"/>
            </c:ext>
          </c:extLst>
        </c:ser>
        <c:ser>
          <c:idx val="16"/>
          <c:order val="16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D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$1,229,831,228</c:v>
                </c:pt>
              </c:strCache>
            </c:strRef>
          </c:cat>
          <c:val>
            <c:numRef>
              <c:f>'DATA for CHARTS (2023)'!$F$29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E-28EC-4FE6-8A7F-A4E3726004C7}"/>
            </c:ext>
          </c:extLst>
        </c:ser>
        <c:ser>
          <c:idx val="17"/>
          <c:order val="17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0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$1,229,831,228</c:v>
                </c:pt>
              </c:strCache>
            </c:strRef>
          </c:cat>
          <c:val>
            <c:numRef>
              <c:f>'DATA for CHARTS (2023)'!$C$29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1-28EC-4FE6-8A7F-A4E3726004C7}"/>
            </c:ext>
          </c:extLst>
        </c:ser>
        <c:ser>
          <c:idx val="18"/>
          <c:order val="18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3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$1,229,831,228</c:v>
                </c:pt>
              </c:strCache>
            </c:strRef>
          </c:cat>
          <c:val>
            <c:numRef>
              <c:f>'DATA for CHARTS (2023)'!$D$29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4-28EC-4FE6-8A7F-A4E3726004C7}"/>
            </c:ext>
          </c:extLst>
        </c:ser>
        <c:ser>
          <c:idx val="19"/>
          <c:order val="19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6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$1,229,831,228</c:v>
                </c:pt>
              </c:strCache>
            </c:strRef>
          </c:cat>
          <c:val>
            <c:numRef>
              <c:f>'DATA for CHARTS (2023)'!$E$29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7-28EC-4FE6-8A7F-A4E3726004C7}"/>
            </c:ext>
          </c:extLst>
        </c:ser>
        <c:ser>
          <c:idx val="20"/>
          <c:order val="2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9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$1,229,831,228</c:v>
                </c:pt>
              </c:strCache>
            </c:strRef>
          </c:cat>
          <c:val>
            <c:numRef>
              <c:f>'DATA for CHARTS (2023)'!$F$29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A-28EC-4FE6-8A7F-A4E3726004C7}"/>
            </c:ext>
          </c:extLst>
        </c:ser>
        <c:ser>
          <c:idx val="21"/>
          <c:order val="2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C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$1,229,831,228</c:v>
                </c:pt>
              </c:strCache>
            </c:strRef>
          </c:cat>
          <c:val>
            <c:numRef>
              <c:f>'DATA for CHARTS (2023)'!$C$29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D-28EC-4FE6-8A7F-A4E3726004C7}"/>
            </c:ext>
          </c:extLst>
        </c:ser>
        <c:ser>
          <c:idx val="22"/>
          <c:order val="2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F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$1,229,831,228</c:v>
                </c:pt>
              </c:strCache>
            </c:strRef>
          </c:cat>
          <c:val>
            <c:numRef>
              <c:f>'DATA for CHARTS (2023)'!$D$29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0-28EC-4FE6-8A7F-A4E3726004C7}"/>
            </c:ext>
          </c:extLst>
        </c:ser>
        <c:ser>
          <c:idx val="23"/>
          <c:order val="2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2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$1,229,831,228</c:v>
                </c:pt>
              </c:strCache>
            </c:strRef>
          </c:cat>
          <c:val>
            <c:numRef>
              <c:f>'DATA for CHARTS (2023)'!$E$29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3-28EC-4FE6-8A7F-A4E3726004C7}"/>
            </c:ext>
          </c:extLst>
        </c:ser>
        <c:ser>
          <c:idx val="24"/>
          <c:order val="24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5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$1,229,831,228</c:v>
                </c:pt>
              </c:strCache>
            </c:strRef>
          </c:cat>
          <c:val>
            <c:numRef>
              <c:f>'DATA for CHARTS (2023)'!$F$29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6-28EC-4FE6-8A7F-A4E3726004C7}"/>
            </c:ext>
          </c:extLst>
        </c:ser>
        <c:ser>
          <c:idx val="25"/>
          <c:order val="25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8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$1,229,831,228</c:v>
                </c:pt>
              </c:strCache>
            </c:strRef>
          </c:cat>
          <c:val>
            <c:numRef>
              <c:f>'DATA for CHARTS (2023)'!$C$29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9-28EC-4FE6-8A7F-A4E3726004C7}"/>
            </c:ext>
          </c:extLst>
        </c:ser>
        <c:ser>
          <c:idx val="26"/>
          <c:order val="26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B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$1,229,831,228</c:v>
                </c:pt>
              </c:strCache>
            </c:strRef>
          </c:cat>
          <c:val>
            <c:numRef>
              <c:f>'DATA for CHARTS (2023)'!$D$29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C-28EC-4FE6-8A7F-A4E3726004C7}"/>
            </c:ext>
          </c:extLst>
        </c:ser>
        <c:ser>
          <c:idx val="27"/>
          <c:order val="27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E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$1,229,831,228</c:v>
                </c:pt>
              </c:strCache>
            </c:strRef>
          </c:cat>
          <c:val>
            <c:numRef>
              <c:f>'DATA for CHARTS (2023)'!$E$29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F-28EC-4FE6-8A7F-A4E3726004C7}"/>
            </c:ext>
          </c:extLst>
        </c:ser>
        <c:ser>
          <c:idx val="28"/>
          <c:order val="28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71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$1,229,831,228</c:v>
                </c:pt>
              </c:strCache>
            </c:strRef>
          </c:cat>
          <c:val>
            <c:numRef>
              <c:f>'DATA for CHARTS (2023)'!$F$29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72-28EC-4FE6-8A7F-A4E3726004C7}"/>
            </c:ext>
          </c:extLst>
        </c:ser>
        <c:ser>
          <c:idx val="29"/>
          <c:order val="29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(2023)'!$D$9:$D$24</c:f>
              <c:strCache>
                <c:ptCount val="16"/>
                <c:pt idx="0">
                  <c:v>   INSTRUCTION</c:v>
                </c:pt>
                <c:pt idx="1">
                  <c:v>   PUPIL SERVICES</c:v>
                </c:pt>
                <c:pt idx="2">
                  <c:v>   IMPROVEMENT OF INSTRUCTIONAL SERVICES</c:v>
                </c:pt>
                <c:pt idx="3">
                  <c:v>   INSTRUCTIONAL STAFF TRAINING</c:v>
                </c:pt>
                <c:pt idx="4">
                  <c:v>   EDUCATIONAL MEDIA SERVICES</c:v>
                </c:pt>
                <c:pt idx="5">
                  <c:v>   GENERAL ADMINISTRATION</c:v>
                </c:pt>
                <c:pt idx="6">
                  <c:v>   SCHOOL ADMINISTRATION</c:v>
                </c:pt>
                <c:pt idx="7">
                  <c:v>   SUPPORT SERVICES - BUSINESS</c:v>
                </c:pt>
                <c:pt idx="8">
                  <c:v>   MAINTENANCE AND OPERATION</c:v>
                </c:pt>
                <c:pt idx="9">
                  <c:v>   STUDENT TRANSPORTATION SERVICE</c:v>
                </c:pt>
                <c:pt idx="10">
                  <c:v>   SUPPORT SERVICES - CENTRAL</c:v>
                </c:pt>
                <c:pt idx="11">
                  <c:v>   OTHER SUPPORT SERVICES</c:v>
                </c:pt>
                <c:pt idx="12">
                  <c:v>   SCHOOL NUTRITION PROGRAM</c:v>
                </c:pt>
                <c:pt idx="13">
                  <c:v>   ENTERPRISE OPERATIONS</c:v>
                </c:pt>
                <c:pt idx="14">
                  <c:v>   TRANSFERS &amp; OTHER OUTLAYS</c:v>
                </c:pt>
                <c:pt idx="15">
                  <c:v>   DEBT SERVICE</c:v>
                </c:pt>
              </c:strCache>
            </c:strRef>
          </c:cat>
          <c:val>
            <c:numRef>
              <c:f>'DATA for CHARTS (2023)'!$H$29</c:f>
              <c:numCache>
                <c:formatCode>#,##0_);[Red]\(#,##0\)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  <a:effectLst/>
      </c:spPr>
    </c:plotArea>
    <c:plotVisOnly val="1"/>
    <c:dispBlanksAs val="zero"/>
    <c:showDLblsOverMax val="0"/>
  </c:chart>
  <c:spPr>
    <a:gradFill>
      <a:gsLst>
        <a:gs pos="0">
          <a:srgbClr val="FFCC99"/>
        </a:gs>
        <a:gs pos="100000">
          <a:srgbClr val="99CCFF"/>
        </a:gs>
      </a:gsLst>
      <a:lin ang="27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/>
              <a:t>FY2023
DeKalb County School District        
YTD Expense Actuals by Function</a:t>
            </a:r>
          </a:p>
        </c:rich>
      </c:tx>
      <c:layout>
        <c:manualLayout>
          <c:xMode val="edge"/>
          <c:yMode val="edge"/>
          <c:x val="0.3394681682843807"/>
          <c:y val="2.31661169293189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837454665347843"/>
          <c:y val="0.21575246365972064"/>
          <c:w val="0.72205736894164196"/>
          <c:h val="0.6409997959741198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2EE-4976-80E3-6C84EC3EF088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2EE-4976-80E3-6C84EC3EF088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2EE-4976-80E3-6C84EC3EF088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32EE-4976-80E3-6C84EC3EF088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32EE-4976-80E3-6C84EC3EF088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32EE-4976-80E3-6C84EC3EF088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32EE-4976-80E3-6C84EC3EF088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32EE-4976-80E3-6C84EC3EF088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32EE-4976-80E3-6C84EC3EF088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32EE-4976-80E3-6C84EC3EF088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32EE-4976-80E3-6C84EC3EF088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32EE-4976-80E3-6C84EC3EF088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32EE-4976-80E3-6C84EC3EF088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numFmt formatCode="&quot;$&quot;#,##0.0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for CHARTS (2023)'!$D$9:$D$24</c:f>
              <c:strCache>
                <c:ptCount val="16"/>
                <c:pt idx="0">
                  <c:v>   INSTRUCTION</c:v>
                </c:pt>
                <c:pt idx="1">
                  <c:v>   PUPIL SERVICES</c:v>
                </c:pt>
                <c:pt idx="2">
                  <c:v>   IMPROVEMENT OF INSTRUCTIONAL SERVICES</c:v>
                </c:pt>
                <c:pt idx="3">
                  <c:v>   INSTRUCTIONAL STAFF TRAINING</c:v>
                </c:pt>
                <c:pt idx="4">
                  <c:v>   EDUCATIONAL MEDIA SERVICES</c:v>
                </c:pt>
                <c:pt idx="5">
                  <c:v>   GENERAL ADMINISTRATION</c:v>
                </c:pt>
                <c:pt idx="6">
                  <c:v>   SCHOOL ADMINISTRATION</c:v>
                </c:pt>
                <c:pt idx="7">
                  <c:v>   SUPPORT SERVICES - BUSINESS</c:v>
                </c:pt>
                <c:pt idx="8">
                  <c:v>   MAINTENANCE AND OPERATION</c:v>
                </c:pt>
                <c:pt idx="9">
                  <c:v>   STUDENT TRANSPORTATION SERVICE</c:v>
                </c:pt>
                <c:pt idx="10">
                  <c:v>   SUPPORT SERVICES - CENTRAL</c:v>
                </c:pt>
                <c:pt idx="11">
                  <c:v>   OTHER SUPPORT SERVICES</c:v>
                </c:pt>
                <c:pt idx="12">
                  <c:v>   SCHOOL NUTRITION PROGRAM</c:v>
                </c:pt>
                <c:pt idx="13">
                  <c:v>   ENTERPRISE OPERATIONS</c:v>
                </c:pt>
                <c:pt idx="14">
                  <c:v>   TRANSFERS &amp; OTHER OUTLAYS</c:v>
                </c:pt>
                <c:pt idx="15">
                  <c:v>   DEBT SERVICE</c:v>
                </c:pt>
              </c:strCache>
            </c:strRef>
          </c:cat>
          <c:val>
            <c:numRef>
              <c:f>'DATA for CHARTS (2023)'!$E$9:$E$24</c:f>
              <c:numCache>
                <c:formatCode>#,##0_);[Red]\(#,##0\)</c:formatCode>
                <c:ptCount val="16"/>
                <c:pt idx="0">
                  <c:v>770720806.98000479</c:v>
                </c:pt>
                <c:pt idx="1">
                  <c:v>71163052.009999901</c:v>
                </c:pt>
                <c:pt idx="2">
                  <c:v>15152045.269999981</c:v>
                </c:pt>
                <c:pt idx="3">
                  <c:v>278565.35000000021</c:v>
                </c:pt>
                <c:pt idx="4">
                  <c:v>13397234.870000018</c:v>
                </c:pt>
                <c:pt idx="5">
                  <c:v>40136991.229999982</c:v>
                </c:pt>
                <c:pt idx="6">
                  <c:v>77694652.689999849</c:v>
                </c:pt>
                <c:pt idx="7">
                  <c:v>14534317.299999997</c:v>
                </c:pt>
                <c:pt idx="8">
                  <c:v>132599896.12</c:v>
                </c:pt>
                <c:pt idx="9">
                  <c:v>64355166.920000017</c:v>
                </c:pt>
                <c:pt idx="10">
                  <c:v>27419117.579999972</c:v>
                </c:pt>
                <c:pt idx="11">
                  <c:v>1094931.4999999998</c:v>
                </c:pt>
                <c:pt idx="12">
                  <c:v>859861.58999999939</c:v>
                </c:pt>
                <c:pt idx="13">
                  <c:v>4588.75</c:v>
                </c:pt>
                <c:pt idx="14">
                  <c:v>420000</c:v>
                </c:pt>
                <c:pt idx="1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C-32EE-4976-80E3-6C84EC3EF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67557056"/>
        <c:axId val="345834480"/>
      </c:barChart>
      <c:valAx>
        <c:axId val="345834480"/>
        <c:scaling>
          <c:orientation val="minMax"/>
          <c:max val="8500000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7557056"/>
        <c:crosses val="autoZero"/>
        <c:crossBetween val="between"/>
        <c:majorUnit val="50000000"/>
        <c:dispUnits>
          <c:builtInUnit val="millions"/>
          <c:dispUnitsLbl>
            <c:layout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catAx>
        <c:axId val="46755705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58344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zero"/>
    <c:showDLblsOverMax val="0"/>
  </c:chart>
  <c:spPr>
    <a:gradFill>
      <a:gsLst>
        <a:gs pos="0">
          <a:srgbClr val="FFCC99"/>
        </a:gs>
        <a:gs pos="100000">
          <a:srgbClr val="99CCFF"/>
        </a:gs>
      </a:gsLst>
      <a:lin ang="27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FY2023</a:t>
            </a:r>
            <a:br>
              <a:rPr lang="en-US" sz="1800" b="1" i="0" baseline="0">
                <a:effectLst/>
              </a:rPr>
            </a:br>
            <a:r>
              <a:rPr lang="en-US" sz="1800" b="1" i="0" baseline="0">
                <a:effectLst/>
              </a:rPr>
              <a:t>DCSD General Fund </a:t>
            </a:r>
          </a:p>
          <a:p>
            <a:pPr>
              <a:defRPr/>
            </a:pPr>
            <a:r>
              <a:rPr lang="en-US" sz="1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rPr>
              <a:t>YTD </a:t>
            </a:r>
            <a:r>
              <a:rPr lang="en-US" sz="1800" b="1" i="0" baseline="0">
                <a:effectLst/>
              </a:rPr>
              <a:t>REVENUE Budget vs Collections</a:t>
            </a:r>
            <a:endParaRPr lang="en-US" sz="14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8114851187424112E-2"/>
          <c:y val="0.20279692238215599"/>
          <c:w val="0.88239168972147397"/>
          <c:h val="0.634620182196065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for CHARTS (2023)'!$B$68</c:f>
              <c:strCache>
                <c:ptCount val="1"/>
                <c:pt idx="0">
                  <c:v>REVENUE BUDGET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4513541175525402E-17"/>
                  <c:y val="-1.69148948449971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836D-47D9-8098-B8C26044ED9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&quot;$&quot;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for CHARTS (2023)'!$A$69:$A$72</c:f>
              <c:strCache>
                <c:ptCount val="4"/>
                <c:pt idx="0">
                  <c:v>   LOCAL REVENUES</c:v>
                </c:pt>
                <c:pt idx="1">
                  <c:v>   INTEREST</c:v>
                </c:pt>
                <c:pt idx="2">
                  <c:v>   STATE SOURCES</c:v>
                </c:pt>
                <c:pt idx="3">
                  <c:v>   TRANSFERS AND OTHER LOCAL</c:v>
                </c:pt>
              </c:strCache>
            </c:strRef>
          </c:cat>
          <c:val>
            <c:numRef>
              <c:f>'DATA for CHARTS (2023)'!$B$69:$B$72</c:f>
              <c:numCache>
                <c:formatCode>#,##0_);[Red]\(#,##0\)</c:formatCode>
                <c:ptCount val="4"/>
                <c:pt idx="0">
                  <c:v>800559106.48000002</c:v>
                </c:pt>
                <c:pt idx="1">
                  <c:v>90000</c:v>
                </c:pt>
                <c:pt idx="2">
                  <c:v>503441425.62</c:v>
                </c:pt>
                <c:pt idx="3">
                  <c:v>1448256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36D-47D9-8098-B8C26044ED9B}"/>
            </c:ext>
          </c:extLst>
        </c:ser>
        <c:ser>
          <c:idx val="1"/>
          <c:order val="1"/>
          <c:tx>
            <c:strRef>
              <c:f>'DATA for CHARTS (2023)'!$C$68</c:f>
              <c:strCache>
                <c:ptCount val="1"/>
                <c:pt idx="0">
                  <c:v>YTD ACTUALS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numFmt formatCode="&quot;$&quot;#,##0.00" sourceLinked="0"/>
            <c:spPr>
              <a:solidFill>
                <a:srgbClr val="FFFF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for CHARTS (2023)'!$A$69:$A$72</c:f>
              <c:strCache>
                <c:ptCount val="4"/>
                <c:pt idx="0">
                  <c:v>   LOCAL REVENUES</c:v>
                </c:pt>
                <c:pt idx="1">
                  <c:v>   INTEREST</c:v>
                </c:pt>
                <c:pt idx="2">
                  <c:v>   STATE SOURCES</c:v>
                </c:pt>
                <c:pt idx="3">
                  <c:v>   TRANSFERS AND OTHER LOCAL</c:v>
                </c:pt>
              </c:strCache>
            </c:strRef>
          </c:cat>
          <c:val>
            <c:numRef>
              <c:f>'DATA for CHARTS (2023)'!$C$69:$C$72</c:f>
              <c:numCache>
                <c:formatCode>#,##0_);[Red]\(#,##0\)</c:formatCode>
                <c:ptCount val="4"/>
                <c:pt idx="0">
                  <c:v>794384863.08000004</c:v>
                </c:pt>
                <c:pt idx="1">
                  <c:v>14244859.5</c:v>
                </c:pt>
                <c:pt idx="2">
                  <c:v>521902754.03999996</c:v>
                </c:pt>
                <c:pt idx="3">
                  <c:v>49492.66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36D-47D9-8098-B8C26044ED9B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'DATA for CHARTS (2023)'!$R$55</c:f>
              <c:strCache>
                <c:ptCount val="1"/>
                <c:pt idx="0">
                  <c:v>(LOCAL &amp; OTHER)  Budgeted: $802,097,362  Actual: $808,679,215  100.82%
(STATE)  Budgeted: $503,441,426  Actual: $465,535,812   92.47%
TOTAL Budgeted: $1,305,538,788  Actual: $1,330,581,969   101.92%</c:v>
                </c:pt>
              </c:strCache>
              <c:extLst xmlns:c15="http://schemas.microsoft.com/office/drawing/2012/chart"/>
            </c:strRef>
          </c:cat>
          <c:val>
            <c:numRef>
              <c:f>'DATA for CHARTS (2023)'!#REF!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</c:ser>
        <c:ser>
          <c:idx val="10"/>
          <c:order val="10"/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'DATA for CHARTS (2023)'!$R$55</c:f>
              <c:strCache>
                <c:ptCount val="1"/>
                <c:pt idx="0">
                  <c:v>(LOCAL &amp; OTHER)  Budgeted: $802,097,362  Actual: $808,679,215  100.82%
(STATE)  Budgeted: $503,441,426  Actual: $465,535,812   92.47%
TOTAL Budgeted: $1,305,538,788  Actual: $1,330,581,969   101.92%</c:v>
                </c:pt>
              </c:strCache>
              <c:extLst xmlns:c15="http://schemas.microsoft.com/office/drawing/2012/chart"/>
            </c:strRef>
          </c:cat>
          <c:val>
            <c:numRef>
              <c:f>'DATA for CHARTS (2023)'!#REF!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4452024"/>
        <c:axId val="464452416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'DATA for CHARTS (2023)'!$A$69:$A$72</c15:sqref>
                        </c15:formulaRef>
                      </c:ext>
                    </c:extLst>
                    <c:strCache>
                      <c:ptCount val="4"/>
                      <c:pt idx="0">
                        <c:v>   LOCAL REVENUES</c:v>
                      </c:pt>
                      <c:pt idx="1">
                        <c:v>   INTEREST</c:v>
                      </c:pt>
                      <c:pt idx="2">
                        <c:v>   STATE SOURCES</c:v>
                      </c:pt>
                      <c:pt idx="3">
                        <c:v>   TRANSFERS AND OTHER LOCAL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'DATA for CHARTS (2023)'!$R$55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3-836D-47D9-8098-B8C26044ED9B}"/>
                  </c:ext>
                </c:extLst>
              </c15:ser>
            </c15:filteredBarSeries>
            <c15:filteredBarSeries>
              <c15:ser>
                <c:idx val="3"/>
                <c:order val="3"/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(2023)'!$A$69:$A$72</c15:sqref>
                        </c15:formulaRef>
                      </c:ext>
                    </c:extLst>
                    <c:strCache>
                      <c:ptCount val="4"/>
                      <c:pt idx="0">
                        <c:v>   LOCAL REVENUES</c:v>
                      </c:pt>
                      <c:pt idx="1">
                        <c:v>   INTEREST</c:v>
                      </c:pt>
                      <c:pt idx="2">
                        <c:v>   STATE SOURCES</c:v>
                      </c:pt>
                      <c:pt idx="3">
                        <c:v>   TRANSFERS AND OTHER LOCAL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(2023)'!$R$55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4-836D-47D9-8098-B8C26044ED9B}"/>
                  </c:ext>
                </c:extLst>
              </c15:ser>
            </c15:filteredBarSeries>
            <c15:filteredBarSeries>
              <c15:ser>
                <c:idx val="4"/>
                <c:order val="4"/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(2023)'!$A$69:$A$72</c15:sqref>
                        </c15:formulaRef>
                      </c:ext>
                    </c:extLst>
                    <c:strCache>
                      <c:ptCount val="4"/>
                      <c:pt idx="0">
                        <c:v>   LOCAL REVENUES</c:v>
                      </c:pt>
                      <c:pt idx="1">
                        <c:v>   INTEREST</c:v>
                      </c:pt>
                      <c:pt idx="2">
                        <c:v>   STATE SOURCES</c:v>
                      </c:pt>
                      <c:pt idx="3">
                        <c:v>   TRANSFERS AND OTHER LOCAL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(2023)'!$R$55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5-836D-47D9-8098-B8C26044ED9B}"/>
                  </c:ext>
                </c:extLst>
              </c15:ser>
            </c15:filteredBarSeries>
            <c15:filteredBarSeries>
              <c15:ser>
                <c:idx val="5"/>
                <c:order val="5"/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(2023)'!$R$55</c15:sqref>
                        </c15:formulaRef>
                      </c:ext>
                    </c:extLst>
                    <c:strCache>
                      <c:ptCount val="1"/>
                      <c:pt idx="0">
                        <c:v>(LOCAL &amp; OTHER)  Budgeted: $802,097,362  Actual: $808,679,215  100.82%
(STATE)  Budgeted: $503,441,426  Actual: $465,535,812   92.47%
TOTAL Budgeted: $1,305,538,788  Actual: $1,330,581,969   101.92%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(2023)'!$U$55</c15:sqref>
                        </c15:formulaRef>
                      </c:ext>
                    </c:extLst>
                    <c:numCache>
                      <c:formatCode>#,##0.00_);[Red]\(#,##0.00\)</c:formatCode>
                      <c:ptCount val="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(2023)'!$R$55</c15:sqref>
                        </c15:formulaRef>
                      </c:ext>
                    </c:extLst>
                    <c:strCache>
                      <c:ptCount val="1"/>
                      <c:pt idx="0">
                        <c:v>(LOCAL &amp; OTHER)  Budgeted: $802,097,362  Actual: $808,679,215  100.82%
(STATE)  Budgeted: $503,441,426  Actual: $465,535,812   92.47%
TOTAL Budgeted: $1,305,538,788  Actual: $1,330,581,969   101.92%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(2023)'!$T$55</c15:sqref>
                        </c15:formulaRef>
                      </c:ext>
                    </c:extLst>
                    <c:numCache>
                      <c:formatCode>#,##0.00_);[Red]\(#,##0.00\)</c:formatCode>
                      <c:ptCount val="1"/>
                    </c:numCache>
                  </c:numRef>
                </c:val>
              </c15:ser>
            </c15:filteredBarSeries>
            <c15:filteredBarSeries>
              <c15:ser>
                <c:idx val="8"/>
                <c:order val="8"/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(2023)'!$R$55</c15:sqref>
                        </c15:formulaRef>
                      </c:ext>
                    </c:extLst>
                    <c:strCache>
                      <c:ptCount val="1"/>
                      <c:pt idx="0">
                        <c:v>(LOCAL &amp; OTHER)  Budgeted: $802,097,362  Actual: $808,679,215  100.82%
(STATE)  Budgeted: $503,441,426  Actual: $465,535,812   92.47%
TOTAL Budgeted: $1,305,538,788  Actual: $1,330,581,969   101.92%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(2023)'!$U$55</c15:sqref>
                        </c15:formulaRef>
                      </c:ext>
                    </c:extLst>
                    <c:numCache>
                      <c:formatCode>#,##0.00_);[Red]\(#,##0.00\)</c:formatCode>
                      <c:ptCount val="1"/>
                    </c:numCache>
                  </c:numRef>
                </c:val>
              </c15:ser>
            </c15:filteredBarSeries>
            <c15:filteredBarSeries>
              <c15:ser>
                <c:idx val="9"/>
                <c:order val="9"/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(2023)'!$R$55</c15:sqref>
                        </c15:formulaRef>
                      </c:ext>
                    </c:extLst>
                    <c:strCache>
                      <c:ptCount val="1"/>
                      <c:pt idx="0">
                        <c:v>(LOCAL &amp; OTHER)  Budgeted: $802,097,362  Actual: $808,679,215  100.82%
(STATE)  Budgeted: $503,441,426  Actual: $465,535,812   92.47%
TOTAL Budgeted: $1,305,538,788  Actual: $1,330,581,969   101.92%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(2023)'!$T$55</c15:sqref>
                        </c15:formulaRef>
                      </c:ext>
                    </c:extLst>
                    <c:numCache>
                      <c:formatCode>#,##0.00_);[Red]\(#,##0.00\)</c:formatCode>
                      <c:ptCount val="1"/>
                    </c:numCache>
                  </c:numRef>
                </c:val>
              </c15:ser>
            </c15:filteredBarSeries>
          </c:ext>
        </c:extLst>
      </c:barChart>
      <c:catAx>
        <c:axId val="464452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4452416"/>
        <c:crosses val="autoZero"/>
        <c:auto val="1"/>
        <c:lblAlgn val="ctr"/>
        <c:lblOffset val="500"/>
        <c:noMultiLvlLbl val="0"/>
      </c:catAx>
      <c:valAx>
        <c:axId val="464452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4452024"/>
        <c:crosses val="autoZero"/>
        <c:crossBetween val="between"/>
        <c:dispUnits>
          <c:builtInUnit val="millions"/>
          <c:dispUnitsLbl>
            <c:layout/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86028759270177013"/>
          <c:y val="0.49544170114922798"/>
          <c:w val="0.11292874889371936"/>
          <c:h val="6.343129962923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rgbClr val="FFCC99"/>
        </a:gs>
        <a:gs pos="100000">
          <a:schemeClr val="tx2">
            <a:lumMod val="40000"/>
            <a:lumOff val="60000"/>
          </a:schemeClr>
        </a:gs>
      </a:gsLst>
      <a:lin ang="2700000" scaled="1"/>
      <a:tileRect/>
    </a:gradFill>
    <a:ln w="9525" cap="flat" cmpd="sng" algn="ctr">
      <a:gradFill>
        <a:gsLst>
          <a:gs pos="0">
            <a:srgbClr val="D3E0EF"/>
          </a:gs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25" right="0.25" top="0.25" bottom="0.25" header="0" footer="0"/>
  <pageSetup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25" right="0.25" top="0.25" bottom="0.25" header="0" footer="0"/>
  <pageSetup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25" right="0.25" top="0.25" bottom="0.25" header="0" footer="0"/>
  <pageSetup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106" workbookViewId="0"/>
  </sheetViews>
  <pageMargins left="0.25" right="0.25" top="0.25" bottom="0.25" header="0" footer="0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496425" cy="72104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0.21774</cdr:x>
      <cdr:y>0.14435</cdr:y>
    </cdr:from>
    <cdr:to>
      <cdr:x>0.81974</cdr:x>
      <cdr:y>0.2286</cdr:y>
    </cdr:to>
    <cdr:sp macro="" textlink="'DATA for CHARTS (2023)'!$B$27:$F$27">
      <cdr:nvSpPr>
        <cdr:cNvPr id="2050" name="Text Box 2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067752" y="974828"/>
          <a:ext cx="5716847" cy="5689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45720" tIns="27432" rIns="45720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B860ACF3-6FEA-48F9-A40D-5C6E1B1F197B}" type="TxLink"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TOTAL GENERAL OPERATIONS BUDGET
$1,325,362,980</a:t>
          </a:fld>
          <a:endParaRPr lang="en-US" sz="18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496425" cy="72104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0.62809</cdr:x>
      <cdr:y>0.88786</cdr:y>
    </cdr:from>
    <cdr:to>
      <cdr:x>0.96538</cdr:x>
      <cdr:y>0.96834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048375" y="6410325"/>
          <a:ext cx="3248025" cy="581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0.43631</cdr:x>
      <cdr:y>0.9055</cdr:y>
    </cdr:from>
    <cdr:to>
      <cdr:x>0.7984</cdr:x>
      <cdr:y>0.98307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143375" y="6115050"/>
          <a:ext cx="3438525" cy="5238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0.4343</cdr:x>
      <cdr:y>0.88999</cdr:y>
    </cdr:from>
    <cdr:to>
      <cdr:x>0.77232</cdr:x>
      <cdr:y>0.98025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4124325" y="6010275"/>
          <a:ext cx="3209925" cy="609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0.41725</cdr:x>
      <cdr:y>0.88575</cdr:y>
    </cdr:from>
    <cdr:to>
      <cdr:x>0.73922</cdr:x>
      <cdr:y>0.98025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3962400" y="5981700"/>
          <a:ext cx="3057525" cy="638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0.35406</cdr:x>
      <cdr:y>0.90127</cdr:y>
    </cdr:from>
    <cdr:to>
      <cdr:x>0.78837</cdr:x>
      <cdr:y>0.98307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362325" y="6086475"/>
          <a:ext cx="412432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0.3661</cdr:x>
      <cdr:y>0.90832</cdr:y>
    </cdr:from>
    <cdr:to>
      <cdr:x>0.72317</cdr:x>
      <cdr:y>0.98307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3476625" y="6134100"/>
          <a:ext cx="3390900" cy="504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0.35807</cdr:x>
      <cdr:y>0.90832</cdr:y>
    </cdr:from>
    <cdr:to>
      <cdr:x>0.71815</cdr:x>
      <cdr:y>0.99154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3400421" y="6134101"/>
          <a:ext cx="3419473" cy="5620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400" b="1"/>
            <a:t>GENERAL OPERATIONS YTD EXPENSES</a:t>
          </a:r>
        </a:p>
        <a:p xmlns:a="http://schemas.openxmlformats.org/drawingml/2006/main">
          <a:pPr algn="ctr"/>
          <a:r>
            <a:rPr lang="en-US" sz="1400" b="1"/>
            <a:t>$1,229,831,228</a:t>
          </a:r>
          <a:endParaRPr lang="en-US" sz="1200" b="1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496425" cy="72104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0.62809</cdr:x>
      <cdr:y>0.88786</cdr:y>
    </cdr:from>
    <cdr:to>
      <cdr:x>0.96538</cdr:x>
      <cdr:y>0.96834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048375" y="6410325"/>
          <a:ext cx="3248025" cy="581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0.35015</cdr:x>
      <cdr:y>0.90409</cdr:y>
    </cdr:from>
    <cdr:to>
      <cdr:x>0.69535</cdr:x>
      <cdr:y>0.97625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325173" y="6105525"/>
          <a:ext cx="3278166" cy="48731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050" b="1" i="0" u="none" strike="noStrike">
              <a:solidFill>
                <a:srgbClr val="000000"/>
              </a:solidFill>
              <a:latin typeface="ARIAL"/>
              <a:cs typeface="ARIAL"/>
            </a:rPr>
            <a:t>GENERAL OPERATIONS YTD EXPENSES</a:t>
          </a:r>
        </a:p>
        <a:p xmlns:a="http://schemas.openxmlformats.org/drawingml/2006/main">
          <a:pPr algn="ctr"/>
          <a:r>
            <a:rPr lang="en-US" sz="1050" b="1" i="0" u="none" strike="noStrike">
              <a:solidFill>
                <a:srgbClr val="000000"/>
              </a:solidFill>
              <a:latin typeface="ARIAL"/>
              <a:cs typeface="ARIAL"/>
            </a:rPr>
            <a:t>$1,229,831,228</a:t>
          </a:r>
          <a:endParaRPr lang="en-US" sz="1050">
            <a:effectLst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498042" cy="72156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0.053</cdr:x>
      <cdr:y>0.90201</cdr:y>
    </cdr:from>
    <cdr:to>
      <cdr:x>0.9446</cdr:x>
      <cdr:y>0.98389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503208" y="6094698"/>
          <a:ext cx="8465990" cy="5532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en-US" sz="1100"/>
        </a:p>
      </cdr:txBody>
    </cdr:sp>
  </cdr:relSizeAnchor>
  <cdr:relSizeAnchor xmlns:cdr="http://schemas.openxmlformats.org/drawingml/2006/chartDrawing">
    <cdr:from>
      <cdr:x>0.14574</cdr:x>
      <cdr:y>0.90167</cdr:y>
    </cdr:from>
    <cdr:to>
      <cdr:x>0.82901</cdr:x>
      <cdr:y>0.99077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383821" y="6092406"/>
          <a:ext cx="6487783" cy="602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0.14101</cdr:x>
      <cdr:y>0.90027</cdr:y>
    </cdr:from>
    <cdr:to>
      <cdr:x>0.87727</cdr:x>
      <cdr:y>0.9921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339319" y="6083420"/>
          <a:ext cx="6993028" cy="6205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100"/>
            <a:t>(LOCAL &amp; OTHER)  Budgeted: $802,097,362  Actual: $808,679,215  100.82%</a:t>
          </a:r>
        </a:p>
        <a:p xmlns:a="http://schemas.openxmlformats.org/drawingml/2006/main">
          <a:pPr algn="ctr"/>
          <a:r>
            <a:rPr lang="en-US" sz="1100"/>
            <a:t>(STATE)  Budgeted: $503,441,426  Actual: $465,535,812   92.47%</a:t>
          </a:r>
        </a:p>
        <a:p xmlns:a="http://schemas.openxmlformats.org/drawingml/2006/main">
          <a:pPr algn="ctr"/>
          <a:r>
            <a:rPr lang="en-US" sz="1100"/>
            <a:t>TOTAL Budgeted: $1,305,538,788  Actual: $1,330,581,969   101.92%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9"/>
  <sheetViews>
    <sheetView tabSelected="1" workbookViewId="0">
      <selection activeCell="A8" sqref="A8"/>
    </sheetView>
  </sheetViews>
  <sheetFormatPr defaultRowHeight="15" x14ac:dyDescent="0.25"/>
  <cols>
    <col min="1" max="1" width="49.7109375" style="1" bestFit="1" customWidth="1"/>
    <col min="2" max="2" width="19.140625" style="30" bestFit="1" customWidth="1"/>
    <col min="3" max="3" width="21" style="30" bestFit="1" customWidth="1"/>
    <col min="4" max="4" width="14.42578125" style="30" bestFit="1" customWidth="1"/>
    <col min="5" max="5" width="16.140625" style="30" bestFit="1" customWidth="1"/>
    <col min="6" max="6" width="16.28515625" style="30" customWidth="1"/>
    <col min="7" max="7" width="16.140625" style="30" bestFit="1" customWidth="1"/>
    <col min="8" max="8" width="14.7109375" style="30" bestFit="1" customWidth="1"/>
    <col min="9" max="9" width="12.42578125" style="1" customWidth="1"/>
    <col min="10" max="10" width="3.5703125" style="1" customWidth="1"/>
    <col min="11" max="11" width="4.28515625" style="1" customWidth="1"/>
    <col min="12" max="12" width="49.7109375" style="1" bestFit="1" customWidth="1"/>
    <col min="13" max="16" width="14.5703125" style="137" bestFit="1" customWidth="1"/>
    <col min="17" max="17" width="13.5703125" style="137" bestFit="1" customWidth="1"/>
    <col min="18" max="16384" width="9.140625" style="1"/>
  </cols>
  <sheetData>
    <row r="1" spans="1:19" x14ac:dyDescent="0.25">
      <c r="A1" s="151" t="s">
        <v>0</v>
      </c>
      <c r="B1" s="151"/>
      <c r="C1" s="151"/>
      <c r="D1" s="151"/>
      <c r="E1" s="151"/>
      <c r="F1" s="151"/>
      <c r="G1" s="151"/>
      <c r="H1" s="151"/>
      <c r="I1" s="151"/>
      <c r="L1" s="138"/>
      <c r="M1" s="138"/>
      <c r="N1" s="138"/>
      <c r="O1" s="138"/>
      <c r="P1" s="138"/>
    </row>
    <row r="2" spans="1:19" ht="18.75" x14ac:dyDescent="0.3">
      <c r="A2" s="152" t="s">
        <v>67</v>
      </c>
      <c r="B2" s="152"/>
      <c r="C2" s="152"/>
      <c r="D2" s="152"/>
      <c r="E2" s="152"/>
      <c r="F2" s="152"/>
      <c r="G2" s="152"/>
      <c r="H2" s="152"/>
      <c r="I2" s="152"/>
      <c r="L2" s="138"/>
      <c r="M2" s="138"/>
      <c r="N2" s="138"/>
      <c r="O2" s="138"/>
      <c r="P2" s="138"/>
    </row>
    <row r="3" spans="1:19" x14ac:dyDescent="0.25">
      <c r="A3" s="151" t="s">
        <v>1</v>
      </c>
      <c r="B3" s="151"/>
      <c r="C3" s="151"/>
      <c r="D3" s="151"/>
      <c r="E3" s="151"/>
      <c r="F3" s="151"/>
      <c r="G3" s="151"/>
      <c r="H3" s="151"/>
      <c r="I3" s="151"/>
      <c r="L3" s="138"/>
      <c r="M3" s="138"/>
      <c r="N3" s="138"/>
      <c r="O3" s="138"/>
      <c r="P3" s="138"/>
    </row>
    <row r="4" spans="1:19" x14ac:dyDescent="0.25">
      <c r="A4" s="153">
        <v>45107</v>
      </c>
      <c r="B4" s="153"/>
      <c r="C4" s="153"/>
      <c r="D4" s="153"/>
      <c r="E4" s="153"/>
      <c r="F4" s="153"/>
      <c r="G4" s="153"/>
      <c r="H4" s="153"/>
      <c r="I4" s="153"/>
      <c r="L4" s="138"/>
      <c r="M4" s="138"/>
      <c r="N4" s="138"/>
      <c r="O4" s="138"/>
      <c r="P4" s="138"/>
    </row>
    <row r="5" spans="1:19" x14ac:dyDescent="0.25">
      <c r="A5" s="151" t="s">
        <v>2</v>
      </c>
      <c r="B5" s="151"/>
      <c r="C5" s="151"/>
      <c r="D5" s="151"/>
      <c r="E5" s="151"/>
      <c r="F5" s="151"/>
      <c r="G5" s="151"/>
      <c r="H5" s="151"/>
      <c r="I5" s="151"/>
      <c r="L5" s="138"/>
      <c r="M5" s="138"/>
      <c r="N5" s="138"/>
      <c r="O5" s="138"/>
      <c r="P5" s="138"/>
    </row>
    <row r="6" spans="1:19" ht="15.75" thickBot="1" x14ac:dyDescent="0.3">
      <c r="A6" s="151"/>
      <c r="B6" s="151"/>
      <c r="C6" s="151"/>
      <c r="D6" s="151"/>
      <c r="E6" s="151"/>
      <c r="F6" s="151"/>
      <c r="G6" s="151"/>
      <c r="H6" s="151"/>
      <c r="I6" s="151"/>
      <c r="L6" s="138"/>
      <c r="M6" s="138"/>
      <c r="N6" s="138"/>
      <c r="O6" s="138"/>
      <c r="P6" s="138"/>
    </row>
    <row r="7" spans="1:19" s="5" customFormat="1" ht="45.75" thickBot="1" x14ac:dyDescent="0.25">
      <c r="A7" s="2" t="s">
        <v>32</v>
      </c>
      <c r="B7" s="32" t="s">
        <v>34</v>
      </c>
      <c r="C7" s="32" t="s">
        <v>33</v>
      </c>
      <c r="D7" s="32" t="s">
        <v>3</v>
      </c>
      <c r="E7" s="32" t="s">
        <v>4</v>
      </c>
      <c r="F7" s="32" t="s">
        <v>5</v>
      </c>
      <c r="G7" s="32" t="s">
        <v>6</v>
      </c>
      <c r="H7" s="32" t="s">
        <v>7</v>
      </c>
      <c r="I7" s="4" t="s">
        <v>31</v>
      </c>
      <c r="L7" s="138"/>
      <c r="M7" s="138"/>
      <c r="N7" s="138"/>
      <c r="O7" s="138"/>
      <c r="P7" s="138"/>
      <c r="Q7" s="138"/>
    </row>
    <row r="8" spans="1:19" s="5" customFormat="1" x14ac:dyDescent="0.2">
      <c r="A8" s="6" t="s">
        <v>8</v>
      </c>
      <c r="B8" s="7">
        <v>800385570.48000002</v>
      </c>
      <c r="C8" s="7">
        <v>800559106.48000002</v>
      </c>
      <c r="D8" s="7">
        <v>7680170.8399999999</v>
      </c>
      <c r="E8" s="7">
        <v>794384863.08000004</v>
      </c>
      <c r="F8" s="7">
        <v>0</v>
      </c>
      <c r="G8" s="7">
        <f t="shared" ref="G8:G28" si="0">SUM(E8:F8)</f>
        <v>794384863.08000004</v>
      </c>
      <c r="H8" s="7">
        <f t="shared" ref="H8:H11" si="1">C8-G8</f>
        <v>6174243.3999999762</v>
      </c>
      <c r="I8" s="35">
        <f>IF(C8=0,"NA",H8/C8)</f>
        <v>7.7124141740735098E-3</v>
      </c>
      <c r="L8"/>
      <c r="M8" s="148"/>
      <c r="N8" s="148"/>
      <c r="O8" s="148"/>
      <c r="P8" s="148"/>
      <c r="Q8" s="148"/>
    </row>
    <row r="9" spans="1:19" s="5" customFormat="1" x14ac:dyDescent="0.2">
      <c r="A9" s="6" t="s">
        <v>9</v>
      </c>
      <c r="B9" s="7">
        <v>90000</v>
      </c>
      <c r="C9" s="7">
        <v>90000</v>
      </c>
      <c r="D9" s="7">
        <v>1489010.8</v>
      </c>
      <c r="E9" s="7">
        <v>14244859.5</v>
      </c>
      <c r="F9" s="7">
        <v>0</v>
      </c>
      <c r="G9" s="7">
        <f>SUM(E9:F9)</f>
        <v>14244859.5</v>
      </c>
      <c r="H9" s="7">
        <f>C9-G9</f>
        <v>-14154859.5</v>
      </c>
      <c r="I9" s="35">
        <f t="shared" ref="I9:I28" si="2">IF(C9=0,"NA",H9/C9)</f>
        <v>-157.27621666666667</v>
      </c>
      <c r="L9"/>
      <c r="M9" s="148"/>
      <c r="N9" s="148"/>
      <c r="O9" s="148"/>
      <c r="P9" s="148"/>
      <c r="Q9" s="148"/>
    </row>
    <row r="10" spans="1:19" s="5" customFormat="1" x14ac:dyDescent="0.2">
      <c r="A10" s="6" t="s">
        <v>10</v>
      </c>
      <c r="B10" s="7">
        <v>502758836.51999998</v>
      </c>
      <c r="C10" s="7">
        <v>503441425.62</v>
      </c>
      <c r="D10" s="7">
        <v>56366942.200000003</v>
      </c>
      <c r="E10" s="7">
        <v>521902754.03999996</v>
      </c>
      <c r="F10" s="7">
        <v>0</v>
      </c>
      <c r="G10" s="7">
        <f t="shared" si="0"/>
        <v>521902754.03999996</v>
      </c>
      <c r="H10" s="7">
        <f t="shared" si="1"/>
        <v>-18461328.419999957</v>
      </c>
      <c r="I10" s="35">
        <f t="shared" si="2"/>
        <v>-3.6670260889366417E-2</v>
      </c>
      <c r="L10"/>
      <c r="M10" s="148"/>
      <c r="N10" s="148"/>
      <c r="O10" s="148"/>
      <c r="P10" s="148"/>
      <c r="Q10" s="148"/>
    </row>
    <row r="11" spans="1:19" s="5" customFormat="1" x14ac:dyDescent="0.2">
      <c r="A11" s="6" t="s">
        <v>11</v>
      </c>
      <c r="B11" s="7">
        <v>1448256</v>
      </c>
      <c r="C11" s="7">
        <v>1448256</v>
      </c>
      <c r="D11" s="7">
        <v>39743.279999999999</v>
      </c>
      <c r="E11" s="7">
        <v>49492.66</v>
      </c>
      <c r="F11" s="7">
        <v>0</v>
      </c>
      <c r="G11" s="7">
        <f t="shared" si="0"/>
        <v>49492.66</v>
      </c>
      <c r="H11" s="7">
        <f t="shared" si="1"/>
        <v>1398763.34</v>
      </c>
      <c r="I11" s="35">
        <f t="shared" si="2"/>
        <v>0.96582602799505068</v>
      </c>
      <c r="L11"/>
      <c r="M11" s="148"/>
      <c r="N11" s="148"/>
      <c r="O11" s="148"/>
      <c r="P11" s="148"/>
      <c r="Q11" s="148"/>
    </row>
    <row r="12" spans="1:19" s="5" customFormat="1" ht="24.95" customHeight="1" x14ac:dyDescent="0.25">
      <c r="A12" s="10" t="s">
        <v>12</v>
      </c>
      <c r="B12" s="11">
        <f t="shared" ref="B12:H12" si="3">SUM(B8:B11)</f>
        <v>1304682663</v>
      </c>
      <c r="C12" s="11">
        <f t="shared" si="3"/>
        <v>1305538788.0999999</v>
      </c>
      <c r="D12" s="11">
        <f t="shared" si="3"/>
        <v>65575867.120000005</v>
      </c>
      <c r="E12" s="11">
        <f t="shared" si="3"/>
        <v>1330581969.28</v>
      </c>
      <c r="F12" s="11">
        <f t="shared" si="3"/>
        <v>0</v>
      </c>
      <c r="G12" s="11">
        <f t="shared" si="3"/>
        <v>1330581969.28</v>
      </c>
      <c r="H12" s="11">
        <f t="shared" si="3"/>
        <v>-25043181.179999981</v>
      </c>
      <c r="I12" s="36">
        <f t="shared" si="2"/>
        <v>-1.91822574773487E-2</v>
      </c>
      <c r="L12" s="1"/>
      <c r="M12" s="1"/>
      <c r="N12" s="1"/>
      <c r="O12" s="1"/>
      <c r="P12" s="1"/>
      <c r="Q12" s="1"/>
      <c r="R12" s="1"/>
      <c r="S12" s="1"/>
    </row>
    <row r="13" spans="1:19" s="5" customFormat="1" x14ac:dyDescent="0.25">
      <c r="A13" s="12" t="s">
        <v>13</v>
      </c>
      <c r="B13" s="13">
        <v>706077410.91999996</v>
      </c>
      <c r="C13" s="13">
        <v>713185245.89000094</v>
      </c>
      <c r="D13" s="13">
        <v>75965539.700001627</v>
      </c>
      <c r="E13" s="13">
        <v>770720806.98000467</v>
      </c>
      <c r="F13" s="13">
        <v>10059628.539999997</v>
      </c>
      <c r="G13" s="13">
        <f t="shared" si="0"/>
        <v>780780435.52000463</v>
      </c>
      <c r="H13" s="13">
        <f t="shared" ref="H13:H28" si="4">C13-G13</f>
        <v>-67595189.630003691</v>
      </c>
      <c r="I13" s="35">
        <f t="shared" si="2"/>
        <v>-9.4779287737017104E-2</v>
      </c>
      <c r="L13" s="137"/>
      <c r="M13" s="137"/>
      <c r="N13" s="137"/>
      <c r="O13" s="137"/>
      <c r="P13" s="137"/>
      <c r="Q13" s="138"/>
    </row>
    <row r="14" spans="1:19" s="5" customFormat="1" x14ac:dyDescent="0.25">
      <c r="A14" s="6" t="s">
        <v>14</v>
      </c>
      <c r="B14" s="7">
        <v>138561844.03999999</v>
      </c>
      <c r="C14" s="7">
        <v>136262405.59</v>
      </c>
      <c r="D14" s="7">
        <v>6717005.0099999327</v>
      </c>
      <c r="E14" s="7">
        <v>71163052.009999916</v>
      </c>
      <c r="F14" s="7">
        <v>252150.81</v>
      </c>
      <c r="G14" s="7">
        <f t="shared" si="0"/>
        <v>71415202.819999918</v>
      </c>
      <c r="H14" s="7">
        <f t="shared" si="4"/>
        <v>64847202.770000085</v>
      </c>
      <c r="I14" s="35">
        <f t="shared" si="2"/>
        <v>0.47589944188361721</v>
      </c>
      <c r="L14" s="137"/>
      <c r="M14" s="137"/>
      <c r="N14" s="137"/>
      <c r="O14" s="137"/>
      <c r="P14" s="137"/>
      <c r="Q14" s="138"/>
    </row>
    <row r="15" spans="1:19" s="5" customFormat="1" x14ac:dyDescent="0.25">
      <c r="A15" s="6" t="s">
        <v>15</v>
      </c>
      <c r="B15" s="7">
        <v>24523630.5</v>
      </c>
      <c r="C15" s="7">
        <v>18943692.900000006</v>
      </c>
      <c r="D15" s="7">
        <v>1543245.0000000009</v>
      </c>
      <c r="E15" s="7">
        <v>15152045.269999983</v>
      </c>
      <c r="F15" s="7">
        <v>84671.61</v>
      </c>
      <c r="G15" s="7">
        <f t="shared" si="0"/>
        <v>15236716.879999982</v>
      </c>
      <c r="H15" s="7">
        <f t="shared" si="4"/>
        <v>3706976.0200000238</v>
      </c>
      <c r="I15" s="35">
        <f t="shared" si="2"/>
        <v>0.19568391651872813</v>
      </c>
      <c r="L15" s="137"/>
      <c r="M15" s="137"/>
      <c r="N15" s="137"/>
      <c r="O15" s="137"/>
      <c r="P15" s="137"/>
      <c r="Q15" s="138"/>
    </row>
    <row r="16" spans="1:19" s="5" customFormat="1" x14ac:dyDescent="0.2">
      <c r="A16" s="6" t="s">
        <v>16</v>
      </c>
      <c r="B16" s="7">
        <v>1135153.98</v>
      </c>
      <c r="C16" s="7">
        <v>323860.38</v>
      </c>
      <c r="D16" s="7">
        <v>7500</v>
      </c>
      <c r="E16" s="7">
        <v>278565.35000000021</v>
      </c>
      <c r="F16" s="7">
        <v>1115</v>
      </c>
      <c r="G16" s="7">
        <f t="shared" si="0"/>
        <v>279680.35000000021</v>
      </c>
      <c r="H16" s="7">
        <f t="shared" si="4"/>
        <v>44180.029999999795</v>
      </c>
      <c r="I16" s="35">
        <f t="shared" si="2"/>
        <v>0.13641690286412866</v>
      </c>
      <c r="M16" s="138"/>
      <c r="N16" s="138"/>
      <c r="O16" s="138"/>
      <c r="P16" s="138"/>
      <c r="Q16" s="138"/>
    </row>
    <row r="17" spans="1:20" s="5" customFormat="1" x14ac:dyDescent="0.2">
      <c r="A17" s="6" t="s">
        <v>17</v>
      </c>
      <c r="B17" s="7">
        <v>16664317.899999974</v>
      </c>
      <c r="C17" s="7">
        <v>16835422.799999982</v>
      </c>
      <c r="D17" s="7">
        <v>1289281.0800000057</v>
      </c>
      <c r="E17" s="7">
        <v>13397234.870000012</v>
      </c>
      <c r="F17" s="7">
        <v>61396.799999999981</v>
      </c>
      <c r="G17" s="7">
        <f t="shared" si="0"/>
        <v>13458631.670000013</v>
      </c>
      <c r="H17" s="7">
        <f t="shared" si="4"/>
        <v>3376791.1299999692</v>
      </c>
      <c r="I17" s="35">
        <f t="shared" si="2"/>
        <v>0.20057655635473395</v>
      </c>
      <c r="M17" s="138"/>
      <c r="N17" s="138"/>
      <c r="O17" s="138"/>
      <c r="P17" s="138"/>
      <c r="Q17" s="138"/>
    </row>
    <row r="18" spans="1:20" s="5" customFormat="1" x14ac:dyDescent="0.2">
      <c r="A18" s="6" t="s">
        <v>18</v>
      </c>
      <c r="B18" s="7">
        <v>44175446.220000006</v>
      </c>
      <c r="C18" s="7">
        <v>43732053.45000001</v>
      </c>
      <c r="D18" s="7">
        <v>3703912.7300000023</v>
      </c>
      <c r="E18" s="7">
        <v>40136991.229999989</v>
      </c>
      <c r="F18" s="7">
        <v>308581.11000000004</v>
      </c>
      <c r="G18" s="7">
        <f t="shared" si="0"/>
        <v>40445572.339999989</v>
      </c>
      <c r="H18" s="7">
        <f t="shared" si="4"/>
        <v>3286481.1100000218</v>
      </c>
      <c r="I18" s="35">
        <f t="shared" si="2"/>
        <v>7.5150395436096792E-2</v>
      </c>
      <c r="M18" s="138"/>
      <c r="N18" s="138"/>
      <c r="O18" s="138"/>
      <c r="P18" s="138"/>
      <c r="Q18" s="138"/>
    </row>
    <row r="19" spans="1:20" s="5" customFormat="1" x14ac:dyDescent="0.2">
      <c r="A19" s="6" t="s">
        <v>19</v>
      </c>
      <c r="B19" s="7">
        <v>74209903.609999985</v>
      </c>
      <c r="C19" s="7">
        <v>73367222.00999999</v>
      </c>
      <c r="D19" s="7">
        <v>6836554.5599999232</v>
      </c>
      <c r="E19" s="7">
        <v>77694652.689999849</v>
      </c>
      <c r="F19" s="7">
        <v>0</v>
      </c>
      <c r="G19" s="7">
        <f t="shared" si="0"/>
        <v>77694652.689999849</v>
      </c>
      <c r="H19" s="7">
        <f t="shared" si="4"/>
        <v>-4327430.6799998581</v>
      </c>
      <c r="I19" s="35">
        <f t="shared" si="2"/>
        <v>-5.89831611643961E-2</v>
      </c>
      <c r="M19" s="138"/>
      <c r="N19" s="138"/>
      <c r="O19" s="138"/>
      <c r="P19" s="138"/>
      <c r="Q19" s="138"/>
    </row>
    <row r="20" spans="1:20" s="5" customFormat="1" x14ac:dyDescent="0.2">
      <c r="A20" s="6" t="s">
        <v>20</v>
      </c>
      <c r="B20" s="7">
        <v>18798662.91</v>
      </c>
      <c r="C20" s="7">
        <v>18984004.080000002</v>
      </c>
      <c r="D20" s="7">
        <v>1347713.02</v>
      </c>
      <c r="E20" s="7">
        <v>14534317.299999997</v>
      </c>
      <c r="F20" s="7">
        <v>714351.3600000001</v>
      </c>
      <c r="G20" s="7">
        <f t="shared" si="0"/>
        <v>15248668.659999996</v>
      </c>
      <c r="H20" s="7">
        <f t="shared" si="4"/>
        <v>3735335.4200000055</v>
      </c>
      <c r="I20" s="35">
        <f t="shared" si="2"/>
        <v>0.19676225332964661</v>
      </c>
      <c r="M20" s="138"/>
      <c r="N20" s="138"/>
      <c r="O20" s="138"/>
      <c r="P20" s="138"/>
      <c r="Q20" s="138"/>
    </row>
    <row r="21" spans="1:20" s="5" customFormat="1" x14ac:dyDescent="0.2">
      <c r="A21" s="6" t="s">
        <v>76</v>
      </c>
      <c r="B21" s="7">
        <v>180228363.12999997</v>
      </c>
      <c r="C21" s="7">
        <v>178286611.23999992</v>
      </c>
      <c r="D21" s="7">
        <v>19722639.819999941</v>
      </c>
      <c r="E21" s="7">
        <v>132599896.11999995</v>
      </c>
      <c r="F21" s="7">
        <v>15358330.200000001</v>
      </c>
      <c r="G21" s="7">
        <f t="shared" si="0"/>
        <v>147958226.31999993</v>
      </c>
      <c r="H21" s="7">
        <f t="shared" si="4"/>
        <v>30328384.919999987</v>
      </c>
      <c r="I21" s="35">
        <f t="shared" si="2"/>
        <v>0.17011027754166877</v>
      </c>
      <c r="M21" s="138"/>
      <c r="N21" s="138"/>
      <c r="O21" s="138"/>
      <c r="P21" s="138"/>
      <c r="Q21" s="138"/>
    </row>
    <row r="22" spans="1:20" s="5" customFormat="1" x14ac:dyDescent="0.2">
      <c r="A22" s="6" t="s">
        <v>21</v>
      </c>
      <c r="B22" s="7">
        <v>81128867.840000004</v>
      </c>
      <c r="C22" s="7">
        <v>83366659.350000024</v>
      </c>
      <c r="D22" s="7">
        <v>7049943.4799999995</v>
      </c>
      <c r="E22" s="7">
        <v>64355166.920000017</v>
      </c>
      <c r="F22" s="7">
        <v>6777966.0799999991</v>
      </c>
      <c r="G22" s="7">
        <f t="shared" si="0"/>
        <v>71133133.000000015</v>
      </c>
      <c r="H22" s="7">
        <f t="shared" si="4"/>
        <v>12233526.350000009</v>
      </c>
      <c r="I22" s="35">
        <f t="shared" si="2"/>
        <v>0.14674363163143836</v>
      </c>
      <c r="M22" s="138"/>
      <c r="N22" s="138"/>
      <c r="O22" s="138"/>
      <c r="P22" s="138"/>
      <c r="Q22" s="138"/>
    </row>
    <row r="23" spans="1:20" s="5" customFormat="1" x14ac:dyDescent="0.2">
      <c r="A23" s="6" t="s">
        <v>22</v>
      </c>
      <c r="B23" s="7">
        <v>28852493.619999994</v>
      </c>
      <c r="C23" s="7">
        <v>31416813.249999993</v>
      </c>
      <c r="D23" s="7">
        <v>2423807.87</v>
      </c>
      <c r="E23" s="7">
        <v>27419117.579999976</v>
      </c>
      <c r="F23" s="7">
        <v>298818.5</v>
      </c>
      <c r="G23" s="7">
        <f t="shared" si="0"/>
        <v>27717936.079999976</v>
      </c>
      <c r="H23" s="7">
        <f t="shared" si="4"/>
        <v>3698877.1700000167</v>
      </c>
      <c r="I23" s="35">
        <f t="shared" si="2"/>
        <v>0.11773559401350223</v>
      </c>
      <c r="M23" s="138"/>
      <c r="N23" s="138"/>
      <c r="O23" s="138"/>
      <c r="P23" s="138"/>
      <c r="Q23" s="138"/>
    </row>
    <row r="24" spans="1:20" s="5" customFormat="1" x14ac:dyDescent="0.25">
      <c r="A24" s="6" t="s">
        <v>23</v>
      </c>
      <c r="B24" s="7">
        <v>1932771.7399999998</v>
      </c>
      <c r="C24" s="7">
        <v>1099408.7899999998</v>
      </c>
      <c r="D24" s="7">
        <v>52566.5</v>
      </c>
      <c r="E24" s="7">
        <v>1094931.5</v>
      </c>
      <c r="F24" s="7">
        <v>0</v>
      </c>
      <c r="G24" s="7">
        <f t="shared" si="0"/>
        <v>1094931.5</v>
      </c>
      <c r="H24" s="7">
        <f t="shared" si="4"/>
        <v>4477.2899999998044</v>
      </c>
      <c r="I24" s="35">
        <f t="shared" si="2"/>
        <v>4.0724524314561875E-3</v>
      </c>
      <c r="L24" s="1"/>
      <c r="M24" s="137"/>
      <c r="N24" s="137"/>
      <c r="O24" s="137"/>
      <c r="P24" s="137"/>
      <c r="Q24" s="137"/>
    </row>
    <row r="25" spans="1:20" s="5" customFormat="1" x14ac:dyDescent="0.25">
      <c r="A25" s="6" t="s">
        <v>29</v>
      </c>
      <c r="B25" s="7">
        <v>1005000</v>
      </c>
      <c r="C25" s="7">
        <v>1005000</v>
      </c>
      <c r="D25" s="7">
        <v>0</v>
      </c>
      <c r="E25" s="7">
        <v>859861.58999999927</v>
      </c>
      <c r="F25" s="7">
        <v>0</v>
      </c>
      <c r="G25" s="7">
        <f t="shared" si="0"/>
        <v>859861.58999999927</v>
      </c>
      <c r="H25" s="7">
        <f t="shared" si="4"/>
        <v>145138.41000000073</v>
      </c>
      <c r="I25" s="35">
        <f t="shared" si="2"/>
        <v>0.14441632835820969</v>
      </c>
      <c r="L25" s="1"/>
      <c r="M25" s="137"/>
      <c r="N25" s="137"/>
      <c r="O25" s="137"/>
      <c r="P25" s="137"/>
      <c r="Q25" s="137"/>
    </row>
    <row r="26" spans="1:20" s="5" customFormat="1" x14ac:dyDescent="0.25">
      <c r="A26" s="6" t="s">
        <v>30</v>
      </c>
      <c r="B26" s="7">
        <v>1346246.49</v>
      </c>
      <c r="C26" s="7">
        <v>967246.49</v>
      </c>
      <c r="D26" s="7">
        <v>0</v>
      </c>
      <c r="E26" s="7">
        <v>4588.75</v>
      </c>
      <c r="F26" s="7">
        <v>0</v>
      </c>
      <c r="G26" s="7">
        <f t="shared" ref="G26" si="5">SUM(E26:F26)</f>
        <v>4588.75</v>
      </c>
      <c r="H26" s="7">
        <f t="shared" ref="H26" si="6">C26-G26</f>
        <v>962657.74</v>
      </c>
      <c r="I26" s="35">
        <f t="shared" ref="I26" si="7">IF(C26=0,"NA",H26/C26)</f>
        <v>0.99525586285663337</v>
      </c>
      <c r="K26" s="1"/>
      <c r="L26" s="1"/>
      <c r="M26" s="137"/>
      <c r="N26" s="137"/>
      <c r="O26" s="137"/>
      <c r="P26" s="137"/>
      <c r="Q26" s="137"/>
      <c r="R26" s="1"/>
    </row>
    <row r="27" spans="1:20" s="5" customFormat="1" x14ac:dyDescent="0.25">
      <c r="A27" s="6" t="s">
        <v>25</v>
      </c>
      <c r="B27" s="7">
        <v>7837334</v>
      </c>
      <c r="C27" s="7">
        <v>7587334</v>
      </c>
      <c r="D27" s="7">
        <v>0</v>
      </c>
      <c r="E27" s="7">
        <v>420000</v>
      </c>
      <c r="F27" s="7">
        <v>0</v>
      </c>
      <c r="G27" s="7">
        <f t="shared" si="0"/>
        <v>420000</v>
      </c>
      <c r="H27" s="7">
        <f t="shared" si="4"/>
        <v>7167334</v>
      </c>
      <c r="I27" s="35">
        <f t="shared" si="2"/>
        <v>0.94464458794090256</v>
      </c>
      <c r="K27" s="1"/>
      <c r="L27" s="1"/>
      <c r="M27" s="137"/>
      <c r="N27" s="137"/>
      <c r="O27" s="137"/>
      <c r="P27" s="137"/>
      <c r="Q27" s="137"/>
      <c r="R27" s="1"/>
      <c r="S27" s="1"/>
    </row>
    <row r="28" spans="1:20" s="5" customFormat="1" x14ac:dyDescent="0.25">
      <c r="A28" s="6" t="s">
        <v>24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f t="shared" si="0"/>
        <v>0</v>
      </c>
      <c r="H28" s="7">
        <f t="shared" si="4"/>
        <v>0</v>
      </c>
      <c r="I28" s="35" t="str">
        <f t="shared" si="2"/>
        <v>NA</v>
      </c>
      <c r="K28" s="1"/>
      <c r="L28" s="1"/>
      <c r="M28" s="137"/>
      <c r="N28" s="137"/>
      <c r="O28" s="137"/>
      <c r="P28" s="137"/>
      <c r="Q28" s="137"/>
      <c r="R28" s="1"/>
    </row>
    <row r="29" spans="1:20" s="5" customFormat="1" ht="24.95" customHeight="1" x14ac:dyDescent="0.25">
      <c r="A29" s="10" t="s">
        <v>26</v>
      </c>
      <c r="B29" s="11">
        <f t="shared" ref="B29:H29" si="8">SUM(B13:B28)</f>
        <v>1326477446.8999996</v>
      </c>
      <c r="C29" s="11">
        <f t="shared" si="8"/>
        <v>1325362980.220001</v>
      </c>
      <c r="D29" s="11">
        <f t="shared" si="8"/>
        <v>126659708.77000146</v>
      </c>
      <c r="E29" s="11">
        <f t="shared" si="8"/>
        <v>1229831228.1600041</v>
      </c>
      <c r="F29" s="11">
        <f t="shared" si="8"/>
        <v>33917010.009999998</v>
      </c>
      <c r="G29" s="11">
        <f t="shared" si="8"/>
        <v>1263748238.1700041</v>
      </c>
      <c r="H29" s="11">
        <f t="shared" si="8"/>
        <v>61614742.049996577</v>
      </c>
      <c r="I29" s="36">
        <f>IF(C29=0,"NA",H29/C29)</f>
        <v>4.648895658740141E-2</v>
      </c>
      <c r="L29" s="1"/>
      <c r="M29" s="137"/>
      <c r="N29" s="137"/>
      <c r="O29" s="137"/>
      <c r="P29" s="137"/>
      <c r="Q29" s="137"/>
      <c r="R29" s="1"/>
    </row>
    <row r="30" spans="1:20" s="5" customFormat="1" x14ac:dyDescent="0.25">
      <c r="A30" s="12"/>
      <c r="B30" s="13"/>
      <c r="C30" s="13"/>
      <c r="D30" s="13"/>
      <c r="E30" s="13"/>
      <c r="F30" s="13"/>
      <c r="G30" s="13"/>
      <c r="H30" s="13"/>
      <c r="I30" s="15"/>
      <c r="K30" s="1"/>
      <c r="L30" s="1"/>
      <c r="M30" s="137"/>
      <c r="N30" s="137"/>
      <c r="O30" s="137"/>
      <c r="P30" s="137"/>
      <c r="Q30" s="137"/>
      <c r="R30" s="1"/>
    </row>
    <row r="31" spans="1:20" s="5" customFormat="1" ht="24.95" customHeight="1" x14ac:dyDescent="0.25">
      <c r="A31" s="6" t="s">
        <v>27</v>
      </c>
      <c r="B31" s="7">
        <f>B12-B29</f>
        <v>-21794783.899999619</v>
      </c>
      <c r="C31" s="7">
        <f>C12-C29</f>
        <v>-19824192.120001078</v>
      </c>
      <c r="D31" s="7">
        <f>D12-D29</f>
        <v>-61083841.650001451</v>
      </c>
      <c r="E31" s="7">
        <f>E12-E29</f>
        <v>100750741.11999583</v>
      </c>
      <c r="F31" s="7"/>
      <c r="G31" s="7">
        <f>G12-G29</f>
        <v>66833731.109995842</v>
      </c>
      <c r="H31" s="7"/>
      <c r="I31" s="16"/>
      <c r="K31" s="1"/>
      <c r="L31" s="1"/>
      <c r="M31" s="137"/>
      <c r="N31" s="137"/>
      <c r="O31" s="137"/>
      <c r="P31" s="137"/>
      <c r="Q31" s="137"/>
      <c r="R31" s="1"/>
      <c r="S31" s="1"/>
    </row>
    <row r="32" spans="1:20" s="5" customFormat="1" x14ac:dyDescent="0.25">
      <c r="A32" s="8"/>
      <c r="B32" s="9"/>
      <c r="C32" s="9"/>
      <c r="D32" s="9"/>
      <c r="E32" s="9"/>
      <c r="F32" s="9"/>
      <c r="G32" s="9"/>
      <c r="H32" s="9"/>
      <c r="I32" s="17"/>
      <c r="K32" s="1"/>
      <c r="L32" s="1"/>
      <c r="M32" s="137"/>
      <c r="N32" s="137"/>
      <c r="O32" s="137"/>
      <c r="P32" s="137"/>
      <c r="Q32" s="137"/>
      <c r="R32" s="1"/>
      <c r="S32" s="1"/>
      <c r="T32" s="1"/>
    </row>
    <row r="33" spans="1:21" s="5" customFormat="1" x14ac:dyDescent="0.25">
      <c r="A33" s="146" t="s">
        <v>73</v>
      </c>
      <c r="B33" s="20"/>
      <c r="C33" s="20"/>
      <c r="D33" s="20"/>
      <c r="E33" s="20">
        <v>265464594.49999699</v>
      </c>
      <c r="F33" s="20"/>
      <c r="G33" s="20">
        <f>E33</f>
        <v>265464594.49999699</v>
      </c>
      <c r="H33" s="20"/>
      <c r="I33" s="2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s="5" customFormat="1" x14ac:dyDescent="0.25">
      <c r="A34" s="146" t="s">
        <v>74</v>
      </c>
      <c r="B34" s="20"/>
      <c r="C34" s="20"/>
      <c r="D34" s="20"/>
      <c r="E34" s="20">
        <v>45000000</v>
      </c>
      <c r="F34" s="20"/>
      <c r="G34" s="20">
        <f>E34</f>
        <v>45000000</v>
      </c>
      <c r="H34" s="20"/>
      <c r="I34" s="2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s="5" customFormat="1" ht="24.75" customHeight="1" x14ac:dyDescent="0.25">
      <c r="A35" s="18" t="s">
        <v>75</v>
      </c>
      <c r="B35" s="20"/>
      <c r="C35" s="20"/>
      <c r="D35" s="20"/>
      <c r="E35" s="20">
        <f>E33-E34</f>
        <v>220464594.49999699</v>
      </c>
      <c r="F35" s="20"/>
      <c r="G35" s="20">
        <f>E35</f>
        <v>220464594.49999699</v>
      </c>
      <c r="H35" s="20"/>
      <c r="I35" s="2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s="5" customFormat="1" ht="27.75" customHeight="1" thickBot="1" x14ac:dyDescent="0.3">
      <c r="A36" s="22" t="s">
        <v>28</v>
      </c>
      <c r="B36" s="24"/>
      <c r="C36" s="24"/>
      <c r="D36" s="24"/>
      <c r="E36" s="24">
        <f>+E35+E31</f>
        <v>321215335.61999285</v>
      </c>
      <c r="F36" s="24"/>
      <c r="G36" s="24">
        <f>+G35+G31</f>
        <v>287298325.60999286</v>
      </c>
      <c r="H36" s="24"/>
      <c r="I36" s="25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x14ac:dyDescent="0.25">
      <c r="A37" s="5"/>
      <c r="B37" s="33"/>
      <c r="C37" s="33"/>
      <c r="D37" s="33"/>
      <c r="E37" s="33"/>
      <c r="F37" s="33"/>
      <c r="G37" s="33"/>
      <c r="H37" s="33"/>
      <c r="I37" s="5"/>
      <c r="J37" s="5"/>
      <c r="M37" s="1"/>
      <c r="N37" s="1"/>
      <c r="O37" s="1"/>
      <c r="P37" s="1"/>
      <c r="Q37" s="1"/>
    </row>
    <row r="38" spans="1:21" x14ac:dyDescent="0.25">
      <c r="B38" s="137"/>
      <c r="C38" s="137"/>
      <c r="D38" s="137"/>
      <c r="E38" s="137"/>
      <c r="F38" s="137"/>
      <c r="G38" s="137"/>
      <c r="H38" s="137"/>
      <c r="M38" s="1"/>
      <c r="N38" s="1"/>
      <c r="O38" s="1"/>
      <c r="P38" s="1"/>
      <c r="Q38" s="1"/>
    </row>
    <row r="39" spans="1:21" x14ac:dyDescent="0.25">
      <c r="B39" s="137"/>
      <c r="C39" s="137"/>
      <c r="D39" s="137"/>
      <c r="E39" s="137"/>
      <c r="F39" s="137"/>
      <c r="G39" s="1"/>
      <c r="H39" s="1"/>
      <c r="M39" s="1"/>
      <c r="N39" s="1"/>
      <c r="O39" s="1"/>
      <c r="P39" s="1"/>
      <c r="Q39" s="1"/>
    </row>
    <row r="40" spans="1:21" x14ac:dyDescent="0.25">
      <c r="B40" s="137"/>
      <c r="C40" s="137"/>
      <c r="D40" s="137"/>
      <c r="E40" s="137"/>
      <c r="F40" s="137"/>
      <c r="G40" s="1"/>
      <c r="H40" s="1"/>
      <c r="K40" s="137"/>
      <c r="L40" s="137"/>
      <c r="P40" s="1"/>
      <c r="Q40" s="1"/>
    </row>
    <row r="41" spans="1:21" x14ac:dyDescent="0.25">
      <c r="B41" s="137"/>
      <c r="C41" s="137"/>
      <c r="D41" s="137"/>
      <c r="E41" s="137"/>
      <c r="F41" s="137"/>
      <c r="G41" s="137"/>
      <c r="H41" s="137"/>
      <c r="M41" s="1"/>
      <c r="N41" s="1"/>
      <c r="O41" s="1"/>
      <c r="P41" s="1"/>
      <c r="Q41" s="1"/>
    </row>
    <row r="42" spans="1:21" x14ac:dyDescent="0.25">
      <c r="B42" s="137"/>
      <c r="C42" s="137"/>
      <c r="D42" s="137"/>
      <c r="E42" s="137"/>
      <c r="F42" s="137"/>
      <c r="G42" s="137"/>
      <c r="H42" s="137"/>
      <c r="I42" s="137"/>
      <c r="L42" s="137"/>
      <c r="M42" s="1"/>
      <c r="N42" s="1"/>
      <c r="O42" s="1"/>
      <c r="P42" s="1"/>
      <c r="Q42" s="1"/>
    </row>
    <row r="43" spans="1:21" x14ac:dyDescent="0.25">
      <c r="B43" s="137"/>
      <c r="C43" s="137"/>
      <c r="D43" s="137"/>
      <c r="E43" s="137"/>
      <c r="F43" s="137"/>
      <c r="G43" s="137"/>
      <c r="H43" s="137"/>
      <c r="I43" s="137"/>
      <c r="L43" s="137"/>
      <c r="M43" s="1"/>
      <c r="N43" s="1"/>
      <c r="O43" s="1"/>
      <c r="P43" s="1"/>
      <c r="Q43" s="1"/>
    </row>
    <row r="44" spans="1:21" x14ac:dyDescent="0.25">
      <c r="B44" s="137"/>
      <c r="C44" s="137"/>
      <c r="D44" s="137"/>
      <c r="E44" s="137"/>
      <c r="F44" s="137"/>
      <c r="G44" s="137"/>
      <c r="H44" s="137"/>
      <c r="I44" s="137"/>
      <c r="L44" s="137"/>
      <c r="M44" s="1"/>
      <c r="N44" s="1"/>
      <c r="O44" s="1"/>
      <c r="P44" s="1"/>
      <c r="Q44" s="1"/>
    </row>
    <row r="45" spans="1:21" x14ac:dyDescent="0.25">
      <c r="B45" s="137"/>
      <c r="C45" s="137"/>
      <c r="D45" s="137"/>
      <c r="E45" s="137"/>
      <c r="F45" s="137"/>
      <c r="G45" s="137"/>
      <c r="H45" s="137"/>
      <c r="I45" s="137"/>
      <c r="J45" s="137"/>
      <c r="K45" s="137"/>
      <c r="L45" s="137"/>
      <c r="M45" s="1"/>
      <c r="N45" s="1"/>
      <c r="O45" s="1"/>
      <c r="P45" s="1"/>
      <c r="Q45" s="1"/>
    </row>
    <row r="46" spans="1:21" x14ac:dyDescent="0.25">
      <c r="B46" s="137"/>
      <c r="C46" s="137"/>
      <c r="D46" s="137"/>
      <c r="E46" s="137"/>
      <c r="F46" s="137"/>
      <c r="G46" s="137"/>
      <c r="H46" s="137"/>
      <c r="I46" s="137"/>
      <c r="J46" s="137"/>
      <c r="K46" s="137"/>
      <c r="L46" s="137"/>
      <c r="M46" s="1"/>
      <c r="N46" s="1"/>
      <c r="O46" s="1"/>
      <c r="P46" s="1"/>
      <c r="Q46" s="1"/>
    </row>
    <row r="47" spans="1:21" x14ac:dyDescent="0.25">
      <c r="B47" s="137"/>
      <c r="C47" s="137"/>
      <c r="D47" s="137"/>
      <c r="E47" s="137"/>
      <c r="F47" s="137"/>
      <c r="G47" s="137"/>
      <c r="H47" s="137"/>
      <c r="I47" s="137"/>
      <c r="J47" s="137"/>
      <c r="K47" s="137"/>
      <c r="L47" s="137"/>
      <c r="M47" s="1"/>
      <c r="N47" s="1"/>
      <c r="O47" s="1"/>
      <c r="P47" s="1"/>
      <c r="Q47" s="1"/>
    </row>
    <row r="48" spans="1:21" x14ac:dyDescent="0.25">
      <c r="B48" s="137"/>
      <c r="C48" s="137"/>
      <c r="D48" s="137"/>
      <c r="E48" s="137"/>
      <c r="F48" s="137"/>
      <c r="G48" s="137"/>
      <c r="H48" s="137"/>
      <c r="I48" s="137"/>
      <c r="J48" s="137"/>
      <c r="K48" s="137"/>
      <c r="M48" s="1"/>
      <c r="N48" s="1"/>
      <c r="O48" s="1"/>
      <c r="P48" s="1"/>
      <c r="Q48" s="1"/>
    </row>
    <row r="49" spans="2:17" x14ac:dyDescent="0.25">
      <c r="B49" s="137"/>
      <c r="C49" s="137"/>
      <c r="D49" s="137"/>
      <c r="E49" s="137"/>
      <c r="F49" s="137"/>
      <c r="G49" s="137"/>
      <c r="H49" s="137"/>
      <c r="I49" s="137"/>
      <c r="J49" s="137"/>
      <c r="K49" s="137"/>
      <c r="M49" s="1"/>
      <c r="N49" s="1"/>
      <c r="O49" s="1"/>
      <c r="P49" s="1"/>
      <c r="Q49" s="1"/>
    </row>
    <row r="50" spans="2:17" x14ac:dyDescent="0.25">
      <c r="B50" s="137"/>
      <c r="C50" s="137"/>
      <c r="D50" s="137"/>
      <c r="E50" s="137"/>
      <c r="F50" s="137"/>
      <c r="G50" s="137"/>
      <c r="H50" s="137"/>
      <c r="I50" s="137"/>
      <c r="J50" s="137"/>
      <c r="K50" s="137"/>
      <c r="M50" s="1"/>
      <c r="N50" s="1"/>
      <c r="O50" s="1"/>
      <c r="P50" s="1"/>
      <c r="Q50" s="1"/>
    </row>
    <row r="51" spans="2:17" x14ac:dyDescent="0.25">
      <c r="B51" s="137"/>
      <c r="C51" s="137"/>
      <c r="D51" s="1"/>
      <c r="E51" s="1"/>
      <c r="F51" s="1"/>
      <c r="G51" s="1"/>
      <c r="H51" s="1"/>
      <c r="M51" s="1"/>
      <c r="N51" s="1"/>
      <c r="O51" s="1"/>
      <c r="P51" s="1"/>
      <c r="Q51" s="1"/>
    </row>
    <row r="52" spans="2:17" x14ac:dyDescent="0.25">
      <c r="B52" s="137"/>
      <c r="C52" s="137"/>
      <c r="D52" s="1"/>
      <c r="E52" s="1"/>
      <c r="F52" s="1"/>
      <c r="G52" s="1"/>
      <c r="H52" s="1"/>
      <c r="M52" s="1"/>
      <c r="N52" s="1"/>
      <c r="O52" s="1"/>
      <c r="P52" s="1"/>
      <c r="Q52" s="1"/>
    </row>
    <row r="53" spans="2:17" x14ac:dyDescent="0.25">
      <c r="B53" s="137"/>
      <c r="C53" s="137"/>
      <c r="D53" s="1"/>
      <c r="E53" s="1"/>
      <c r="F53" s="1"/>
      <c r="G53" s="1"/>
      <c r="H53" s="1"/>
      <c r="M53" s="1"/>
      <c r="N53" s="1"/>
      <c r="O53" s="1"/>
      <c r="P53" s="1"/>
      <c r="Q53" s="1"/>
    </row>
    <row r="54" spans="2:17" x14ac:dyDescent="0.25">
      <c r="B54" s="137"/>
      <c r="C54" s="137"/>
      <c r="D54" s="1"/>
      <c r="E54" s="1"/>
      <c r="F54" s="1"/>
      <c r="G54" s="1"/>
      <c r="H54" s="1"/>
      <c r="M54" s="1"/>
      <c r="N54" s="1"/>
      <c r="O54" s="1"/>
      <c r="P54" s="1"/>
      <c r="Q54" s="1"/>
    </row>
    <row r="55" spans="2:17" x14ac:dyDescent="0.25">
      <c r="B55" s="137"/>
      <c r="C55" s="137"/>
      <c r="D55" s="1"/>
      <c r="E55" s="1"/>
      <c r="F55" s="1"/>
      <c r="G55" s="1"/>
      <c r="H55" s="1"/>
      <c r="M55" s="1"/>
      <c r="N55" s="1"/>
      <c r="O55" s="1"/>
      <c r="P55" s="1"/>
      <c r="Q55" s="1"/>
    </row>
    <row r="56" spans="2:17" x14ac:dyDescent="0.25">
      <c r="B56" s="137"/>
      <c r="C56" s="137"/>
      <c r="D56" s="1"/>
      <c r="E56" s="1"/>
      <c r="F56" s="1"/>
      <c r="G56" s="1"/>
      <c r="H56" s="1"/>
      <c r="M56" s="1"/>
      <c r="N56" s="1"/>
      <c r="O56" s="1"/>
      <c r="P56" s="1"/>
      <c r="Q56" s="1"/>
    </row>
    <row r="57" spans="2:17" x14ac:dyDescent="0.25">
      <c r="B57" s="137"/>
      <c r="C57" s="137"/>
      <c r="D57" s="137"/>
      <c r="E57" s="137"/>
      <c r="F57" s="1"/>
      <c r="G57" s="1"/>
      <c r="H57" s="1"/>
      <c r="L57" s="137"/>
      <c r="N57" s="1"/>
      <c r="O57" s="1"/>
      <c r="P57" s="1"/>
      <c r="Q57" s="1"/>
    </row>
    <row r="58" spans="2:17" x14ac:dyDescent="0.25">
      <c r="B58" s="137"/>
      <c r="C58" s="137"/>
      <c r="D58" s="137"/>
      <c r="E58" s="137"/>
      <c r="F58" s="1"/>
      <c r="G58" s="1"/>
      <c r="H58" s="1"/>
      <c r="L58" s="137"/>
      <c r="P58" s="1"/>
      <c r="Q58" s="1"/>
    </row>
    <row r="59" spans="2:17" x14ac:dyDescent="0.25">
      <c r="B59" s="137"/>
      <c r="C59" s="137"/>
      <c r="D59" s="137"/>
      <c r="E59" s="137"/>
      <c r="F59" s="1"/>
      <c r="G59" s="1"/>
      <c r="H59" s="1"/>
      <c r="L59" s="137"/>
      <c r="P59" s="1"/>
      <c r="Q59" s="1"/>
    </row>
    <row r="60" spans="2:17" x14ac:dyDescent="0.25">
      <c r="B60" s="137"/>
      <c r="C60" s="137"/>
      <c r="D60" s="137"/>
      <c r="E60" s="137"/>
      <c r="F60" s="1"/>
      <c r="G60" s="1"/>
      <c r="H60" s="137"/>
      <c r="I60" s="137"/>
      <c r="J60" s="137"/>
      <c r="K60" s="137"/>
    </row>
    <row r="61" spans="2:17" x14ac:dyDescent="0.25">
      <c r="B61" s="137"/>
      <c r="C61" s="137"/>
      <c r="D61" s="137"/>
      <c r="E61" s="137"/>
      <c r="F61" s="137"/>
      <c r="G61" s="137"/>
      <c r="H61" s="1"/>
      <c r="I61" s="137"/>
      <c r="J61" s="137"/>
      <c r="K61" s="137"/>
    </row>
    <row r="62" spans="2:17" x14ac:dyDescent="0.25">
      <c r="B62" s="137"/>
      <c r="C62" s="137"/>
      <c r="D62" s="137"/>
      <c r="E62" s="137"/>
      <c r="F62" s="137"/>
      <c r="G62" s="137"/>
      <c r="H62" s="1"/>
      <c r="K62" s="137"/>
    </row>
    <row r="63" spans="2:17" x14ac:dyDescent="0.25">
      <c r="B63" s="137"/>
      <c r="C63" s="137"/>
      <c r="D63" s="137"/>
      <c r="E63" s="137"/>
      <c r="F63" s="137"/>
      <c r="G63" s="137"/>
      <c r="H63" s="137"/>
      <c r="I63" s="137"/>
      <c r="J63" s="137"/>
      <c r="K63" s="137"/>
    </row>
    <row r="64" spans="2:17" x14ac:dyDescent="0.25">
      <c r="B64" s="137"/>
      <c r="C64" s="137"/>
      <c r="D64" s="137"/>
      <c r="E64" s="137"/>
      <c r="F64" s="137"/>
      <c r="G64" s="137"/>
      <c r="H64" s="137"/>
      <c r="I64" s="137"/>
      <c r="J64" s="137"/>
    </row>
    <row r="65" spans="2:10" x14ac:dyDescent="0.25">
      <c r="B65" s="137"/>
      <c r="C65" s="137"/>
      <c r="D65" s="137"/>
      <c r="E65" s="137"/>
      <c r="F65" s="137"/>
      <c r="G65" s="137"/>
      <c r="H65" s="137"/>
      <c r="I65" s="137"/>
      <c r="J65" s="137"/>
    </row>
    <row r="66" spans="2:10" x14ac:dyDescent="0.25">
      <c r="B66" s="137"/>
      <c r="C66" s="137"/>
      <c r="D66" s="137"/>
      <c r="E66" s="137"/>
      <c r="F66" s="137"/>
      <c r="G66" s="137"/>
      <c r="H66" s="137"/>
      <c r="I66" s="137"/>
      <c r="J66" s="137"/>
    </row>
    <row r="67" spans="2:10" x14ac:dyDescent="0.25">
      <c r="B67" s="137"/>
      <c r="C67" s="137"/>
      <c r="D67" s="137"/>
      <c r="E67" s="137"/>
      <c r="F67" s="137"/>
      <c r="G67" s="137"/>
      <c r="H67" s="137"/>
      <c r="I67" s="137"/>
      <c r="J67" s="137"/>
    </row>
    <row r="68" spans="2:10" x14ac:dyDescent="0.25">
      <c r="B68" s="137"/>
      <c r="C68" s="137"/>
      <c r="D68" s="137"/>
      <c r="E68" s="137"/>
      <c r="F68" s="137"/>
      <c r="G68" s="137"/>
      <c r="H68" s="137"/>
      <c r="I68" s="137"/>
      <c r="J68" s="137"/>
    </row>
    <row r="69" spans="2:10" x14ac:dyDescent="0.25">
      <c r="B69" s="137"/>
      <c r="C69" s="137"/>
      <c r="D69" s="137"/>
      <c r="E69" s="137"/>
      <c r="F69" s="137"/>
      <c r="G69" s="137"/>
      <c r="H69" s="137"/>
      <c r="I69" s="137"/>
      <c r="J69" s="137"/>
    </row>
    <row r="70" spans="2:10" x14ac:dyDescent="0.25">
      <c r="B70" s="137"/>
      <c r="C70" s="137"/>
      <c r="D70" s="137"/>
      <c r="E70" s="137"/>
      <c r="F70" s="137"/>
      <c r="G70" s="137"/>
      <c r="H70" s="137"/>
      <c r="I70" s="137"/>
      <c r="J70" s="137"/>
    </row>
    <row r="71" spans="2:10" x14ac:dyDescent="0.25">
      <c r="B71" s="137"/>
      <c r="C71" s="137"/>
      <c r="D71" s="137"/>
      <c r="E71" s="137"/>
      <c r="F71" s="137"/>
      <c r="G71" s="137"/>
      <c r="H71" s="137"/>
      <c r="I71" s="137"/>
      <c r="J71" s="137"/>
    </row>
    <row r="72" spans="2:10" x14ac:dyDescent="0.25">
      <c r="B72" s="137"/>
      <c r="C72" s="137"/>
      <c r="D72" s="137"/>
      <c r="E72" s="137"/>
      <c r="F72" s="137"/>
      <c r="G72" s="137"/>
      <c r="H72" s="137"/>
      <c r="I72" s="137"/>
      <c r="J72" s="137"/>
    </row>
    <row r="73" spans="2:10" x14ac:dyDescent="0.25">
      <c r="B73" s="137"/>
      <c r="C73" s="137"/>
      <c r="D73" s="137"/>
      <c r="E73" s="137"/>
      <c r="F73" s="137"/>
      <c r="G73" s="137"/>
      <c r="H73" s="137"/>
      <c r="I73" s="137"/>
      <c r="J73" s="137"/>
    </row>
    <row r="74" spans="2:10" x14ac:dyDescent="0.25">
      <c r="B74" s="137"/>
      <c r="C74" s="137"/>
      <c r="D74" s="137"/>
      <c r="E74" s="137"/>
      <c r="F74" s="137"/>
      <c r="G74" s="137"/>
      <c r="H74" s="137"/>
      <c r="I74" s="137"/>
      <c r="J74" s="137"/>
    </row>
    <row r="75" spans="2:10" x14ac:dyDescent="0.25">
      <c r="B75" s="137"/>
      <c r="C75" s="137"/>
      <c r="D75" s="137"/>
      <c r="E75" s="137"/>
      <c r="F75" s="137"/>
      <c r="G75" s="137"/>
      <c r="H75" s="137"/>
      <c r="I75" s="137"/>
      <c r="J75" s="137"/>
    </row>
    <row r="76" spans="2:10" x14ac:dyDescent="0.25">
      <c r="B76" s="137"/>
      <c r="C76" s="137"/>
      <c r="D76" s="137"/>
      <c r="E76" s="137"/>
      <c r="F76" s="137"/>
      <c r="G76" s="137"/>
      <c r="H76" s="137"/>
      <c r="I76" s="137"/>
      <c r="J76" s="137"/>
    </row>
    <row r="77" spans="2:10" x14ac:dyDescent="0.25">
      <c r="B77" s="137"/>
      <c r="C77" s="137"/>
      <c r="D77" s="137"/>
      <c r="E77" s="137"/>
      <c r="F77" s="137"/>
      <c r="G77" s="137"/>
      <c r="H77" s="137"/>
      <c r="I77" s="137"/>
      <c r="J77" s="137"/>
    </row>
    <row r="78" spans="2:10" x14ac:dyDescent="0.25">
      <c r="B78" s="137"/>
      <c r="C78" s="137"/>
      <c r="D78" s="137"/>
      <c r="E78" s="137"/>
      <c r="F78" s="137"/>
      <c r="G78" s="137"/>
      <c r="H78" s="137"/>
      <c r="I78" s="137"/>
      <c r="J78" s="137"/>
    </row>
    <row r="79" spans="2:10" x14ac:dyDescent="0.25">
      <c r="B79" s="137"/>
      <c r="C79" s="137"/>
      <c r="D79" s="137"/>
      <c r="E79" s="137"/>
      <c r="F79" s="137"/>
      <c r="G79" s="137"/>
      <c r="H79" s="137"/>
      <c r="I79" s="137"/>
      <c r="J79" s="137"/>
    </row>
    <row r="80" spans="2:10" x14ac:dyDescent="0.25">
      <c r="B80" s="137"/>
      <c r="C80" s="137"/>
      <c r="D80" s="137"/>
      <c r="E80" s="137"/>
      <c r="F80" s="137"/>
      <c r="G80" s="137"/>
      <c r="H80" s="137"/>
      <c r="I80" s="137"/>
      <c r="J80" s="137"/>
    </row>
    <row r="81" spans="2:10" x14ac:dyDescent="0.25">
      <c r="B81" s="137"/>
      <c r="C81" s="137"/>
      <c r="D81" s="137"/>
      <c r="E81" s="137"/>
      <c r="F81" s="137"/>
      <c r="G81" s="137"/>
      <c r="H81" s="137"/>
      <c r="I81" s="137"/>
      <c r="J81" s="137"/>
    </row>
    <row r="82" spans="2:10" x14ac:dyDescent="0.25">
      <c r="B82" s="137"/>
      <c r="C82" s="137"/>
      <c r="D82" s="137"/>
      <c r="E82" s="137"/>
      <c r="F82" s="137"/>
      <c r="G82" s="137"/>
      <c r="H82" s="137"/>
      <c r="I82" s="137"/>
      <c r="J82" s="137"/>
    </row>
    <row r="83" spans="2:10" x14ac:dyDescent="0.25">
      <c r="B83" s="137"/>
      <c r="C83" s="137"/>
      <c r="D83" s="137"/>
      <c r="E83" s="137"/>
      <c r="F83" s="137"/>
      <c r="G83" s="137"/>
      <c r="H83" s="137"/>
      <c r="I83" s="137"/>
      <c r="J83" s="137"/>
    </row>
    <row r="84" spans="2:10" x14ac:dyDescent="0.25">
      <c r="B84" s="137"/>
      <c r="C84" s="137"/>
      <c r="D84" s="137"/>
      <c r="E84" s="137"/>
      <c r="F84" s="137"/>
      <c r="G84" s="137"/>
      <c r="H84" s="137"/>
      <c r="I84" s="137"/>
      <c r="J84" s="137"/>
    </row>
    <row r="85" spans="2:10" x14ac:dyDescent="0.25">
      <c r="B85" s="137"/>
    </row>
    <row r="86" spans="2:10" x14ac:dyDescent="0.25">
      <c r="B86" s="137"/>
    </row>
    <row r="87" spans="2:10" x14ac:dyDescent="0.25">
      <c r="B87" s="137"/>
    </row>
    <row r="88" spans="2:10" x14ac:dyDescent="0.25">
      <c r="B88" s="137"/>
    </row>
    <row r="89" spans="2:10" x14ac:dyDescent="0.25">
      <c r="B89" s="137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6"/>
  <sheetViews>
    <sheetView topLeftCell="A34" workbookViewId="0">
      <selection activeCell="C8" sqref="C8:C11"/>
    </sheetView>
  </sheetViews>
  <sheetFormatPr defaultRowHeight="12.75" x14ac:dyDescent="0.2"/>
  <cols>
    <col min="1" max="1" width="32.42578125" style="51" bestFit="1" customWidth="1"/>
    <col min="2" max="2" width="15.7109375" style="51" customWidth="1"/>
    <col min="3" max="3" width="18.7109375" style="51" customWidth="1"/>
    <col min="4" max="4" width="45.5703125" style="51" bestFit="1" customWidth="1"/>
    <col min="5" max="5" width="16.140625" style="51" customWidth="1"/>
    <col min="6" max="6" width="12.5703125" style="50" customWidth="1"/>
    <col min="7" max="7" width="13.42578125" style="50" bestFit="1" customWidth="1"/>
    <col min="8" max="8" width="14.42578125" style="50" bestFit="1" customWidth="1"/>
    <col min="9" max="9" width="16" style="50" bestFit="1" customWidth="1"/>
    <col min="10" max="10" width="11.7109375" style="50" bestFit="1" customWidth="1"/>
    <col min="11" max="17" width="13.42578125" style="50" bestFit="1" customWidth="1"/>
    <col min="18" max="18" width="69.140625" style="51" customWidth="1"/>
    <col min="19" max="20" width="17" style="99" customWidth="1"/>
    <col min="21" max="21" width="17" style="99" bestFit="1" customWidth="1"/>
    <col min="22" max="16384" width="9.140625" style="51"/>
  </cols>
  <sheetData>
    <row r="1" spans="1:21" ht="21" thickBot="1" x14ac:dyDescent="0.25">
      <c r="A1" s="157" t="s">
        <v>72</v>
      </c>
      <c r="B1" s="158"/>
      <c r="C1" s="158"/>
      <c r="D1" s="158"/>
      <c r="E1" s="158"/>
      <c r="F1" s="158"/>
      <c r="G1" s="159"/>
      <c r="H1" s="49"/>
    </row>
    <row r="2" spans="1:21" x14ac:dyDescent="0.2">
      <c r="A2" s="52"/>
      <c r="B2" s="49"/>
      <c r="C2" s="52"/>
      <c r="D2" s="52"/>
      <c r="E2" s="52"/>
      <c r="F2" s="49"/>
      <c r="G2" s="49"/>
    </row>
    <row r="3" spans="1:21" x14ac:dyDescent="0.2">
      <c r="A3" s="160" t="s">
        <v>35</v>
      </c>
      <c r="B3" s="161"/>
      <c r="C3" s="161"/>
      <c r="D3" s="161"/>
      <c r="E3" s="161"/>
      <c r="F3" s="161"/>
      <c r="G3" s="161"/>
    </row>
    <row r="4" spans="1:21" ht="13.5" thickBot="1" x14ac:dyDescent="0.25">
      <c r="A4" s="52"/>
      <c r="B4" s="49"/>
      <c r="C4" s="52"/>
      <c r="D4" s="52"/>
      <c r="E4" s="52"/>
      <c r="F4" s="49"/>
      <c r="G4" s="49"/>
    </row>
    <row r="5" spans="1:21" ht="26.25" thickBot="1" x14ac:dyDescent="0.25">
      <c r="B5" s="53" t="s">
        <v>36</v>
      </c>
      <c r="C5" s="54" t="s">
        <v>37</v>
      </c>
      <c r="D5" s="52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</row>
    <row r="6" spans="1:21" ht="13.5" thickBot="1" x14ac:dyDescent="0.25">
      <c r="A6" s="55" t="s">
        <v>38</v>
      </c>
      <c r="B6" s="56">
        <v>1325362980.22</v>
      </c>
      <c r="C6" s="57">
        <f>SUM(F25:Q25)</f>
        <v>1229831228.1600046</v>
      </c>
      <c r="D6" s="52"/>
      <c r="E6" s="52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</row>
    <row r="7" spans="1:21" ht="26.25" thickBot="1" x14ac:dyDescent="0.25">
      <c r="B7" s="49"/>
      <c r="C7" s="58"/>
      <c r="D7" s="59"/>
      <c r="E7" s="60" t="s">
        <v>39</v>
      </c>
      <c r="F7" s="61" t="s">
        <v>40</v>
      </c>
      <c r="G7" s="62" t="s">
        <v>41</v>
      </c>
      <c r="H7" s="62" t="s">
        <v>42</v>
      </c>
      <c r="I7" s="62" t="s">
        <v>43</v>
      </c>
      <c r="J7" s="62" t="s">
        <v>44</v>
      </c>
      <c r="K7" s="62" t="s">
        <v>45</v>
      </c>
      <c r="L7" s="62" t="s">
        <v>46</v>
      </c>
      <c r="M7" s="62" t="s">
        <v>47</v>
      </c>
      <c r="N7" s="62" t="s">
        <v>48</v>
      </c>
      <c r="O7" s="62" t="s">
        <v>49</v>
      </c>
      <c r="P7" s="62" t="s">
        <v>50</v>
      </c>
      <c r="Q7" s="63" t="s">
        <v>51</v>
      </c>
    </row>
    <row r="8" spans="1:21" x14ac:dyDescent="0.2">
      <c r="B8" s="50"/>
      <c r="D8" s="52"/>
      <c r="E8" s="64"/>
      <c r="P8" s="51"/>
      <c r="Q8" s="51"/>
    </row>
    <row r="9" spans="1:21" x14ac:dyDescent="0.2">
      <c r="B9" s="50"/>
      <c r="D9" s="52" t="s">
        <v>13</v>
      </c>
      <c r="E9" s="65">
        <f>SUM(F9:Q9)</f>
        <v>770720806.98000479</v>
      </c>
      <c r="F9" s="50">
        <f>9808420.78-801492.680000011</f>
        <v>9006928.0999999885</v>
      </c>
      <c r="G9" s="50">
        <f>12409518.8299999-402448.789999992</f>
        <v>12007070.039999908</v>
      </c>
      <c r="H9" s="50">
        <f>70514974.5300016+22512.8699983358</f>
        <v>70537487.399999931</v>
      </c>
      <c r="I9" s="50">
        <f>71835021.2100015+31672.38</f>
        <v>71866693.590001494</v>
      </c>
      <c r="J9" s="50">
        <f>68948166.4000016 + 5566429.94999957</f>
        <v>74514596.350001171</v>
      </c>
      <c r="K9" s="50">
        <f>72382507.6800014-14170.4900033473</f>
        <v>72368337.189998046</v>
      </c>
      <c r="L9" s="50">
        <f>70932368.2900015+19166.3300010561</f>
        <v>70951534.620002553</v>
      </c>
      <c r="M9" s="50">
        <f>85817890.3400019+56610.6599959135</f>
        <v>85874500.99999781</v>
      </c>
      <c r="N9" s="50">
        <f>70216909.2100014+98642.5000008345</f>
        <v>70315551.710002229</v>
      </c>
      <c r="O9" s="50">
        <f>73452355.6100017+3178254.8899945</f>
        <v>76630610.4999962</v>
      </c>
      <c r="P9" s="51">
        <f>77420640.3100018+3261316.47000206</f>
        <v>80681956.780003861</v>
      </c>
      <c r="Q9" s="99">
        <v>75965539.700001627</v>
      </c>
      <c r="R9" s="51" t="s">
        <v>13</v>
      </c>
      <c r="S9" s="99">
        <v>770720806.98000467</v>
      </c>
      <c r="T9" s="99">
        <f>S9-E9</f>
        <v>0</v>
      </c>
      <c r="U9" s="99">
        <v>3261316.4700020598</v>
      </c>
    </row>
    <row r="10" spans="1:21" x14ac:dyDescent="0.2">
      <c r="B10" s="50"/>
      <c r="D10" s="52" t="s">
        <v>14</v>
      </c>
      <c r="E10" s="65">
        <f t="shared" ref="E10:E24" si="0">SUM(F10:Q10)</f>
        <v>71163052.009999901</v>
      </c>
      <c r="F10" s="50">
        <f>744217.770000002+10105.1699999985</f>
        <v>754322.94000000053</v>
      </c>
      <c r="G10" s="50">
        <f>1863052.67999999+6695.29000000283</f>
        <v>1869747.9699999928</v>
      </c>
      <c r="H10" s="50">
        <f>6535361.87999997+9897.4400000181</f>
        <v>6545259.3199999882</v>
      </c>
      <c r="I10" s="50">
        <v>6551632.0899999309</v>
      </c>
      <c r="J10" s="50">
        <f>6704104.91999993 + 9821.08000003173</f>
        <v>6713925.9999999618</v>
      </c>
      <c r="K10" s="50">
        <f>7025545.40999994+19794.8800001814</f>
        <v>7045340.2900001211</v>
      </c>
      <c r="L10" s="50">
        <f>6431955.31999996+9897.43999997526</f>
        <v>6441852.7599999355</v>
      </c>
      <c r="M10" s="50">
        <f>7366420.04999993+9897.44000012427</f>
        <v>7376317.4900000542</v>
      </c>
      <c r="N10" s="50">
        <f>6473181.31999992+15798.4200000613</f>
        <v>6488979.7399999816</v>
      </c>
      <c r="O10" s="50">
        <f>6718679.81999998+262108.600000121</f>
        <v>6980788.4200001005</v>
      </c>
      <c r="P10" s="51">
        <f>7407976.70999993+269903.269999981</f>
        <v>7677879.979999911</v>
      </c>
      <c r="Q10" s="99">
        <v>6717005.0099999327</v>
      </c>
      <c r="R10" s="51" t="s">
        <v>14</v>
      </c>
      <c r="S10" s="99">
        <v>71163052.009999916</v>
      </c>
      <c r="T10" s="99">
        <f t="shared" ref="T10:T24" si="1">S10-E10</f>
        <v>0</v>
      </c>
      <c r="U10" s="99">
        <v>269903.26999998098</v>
      </c>
    </row>
    <row r="11" spans="1:21" x14ac:dyDescent="0.2">
      <c r="B11" s="50"/>
      <c r="D11" s="52" t="s">
        <v>15</v>
      </c>
      <c r="E11" s="65">
        <f t="shared" si="0"/>
        <v>15152045.269999981</v>
      </c>
      <c r="F11" s="50">
        <f>1063610.27-3992.91000000014</f>
        <v>1059617.3599999999</v>
      </c>
      <c r="G11" s="50">
        <f>1799349.93+20302.8100000009</f>
        <v>1819652.7400000009</v>
      </c>
      <c r="H11" s="50">
        <f>1075530.85+6467.12999999802</f>
        <v>1081997.9799999981</v>
      </c>
      <c r="I11" s="50">
        <f>1072231.25+415.79</f>
        <v>1072647.04</v>
      </c>
      <c r="J11" s="50">
        <f>975226.580000001 -9337.46000000089</f>
        <v>965889.12000000011</v>
      </c>
      <c r="K11" s="50">
        <f>1120657.99+-19794.9199999952</f>
        <v>1100863.0700000047</v>
      </c>
      <c r="L11" s="50">
        <f>1007257.49-9178.0299999956</f>
        <v>998079.46000000439</v>
      </c>
      <c r="M11" s="50">
        <f>1359637.53+2156.45000000111</f>
        <v>1361793.9800000011</v>
      </c>
      <c r="N11" s="50">
        <f>1240823.53+9716.24999997392</f>
        <v>1250539.779999974</v>
      </c>
      <c r="O11" s="50">
        <f>1452425.15+9984.28999999724</f>
        <v>1462409.4399999972</v>
      </c>
      <c r="P11" s="51">
        <f>1419615.85+15694.4500000011</f>
        <v>1435310.3000000012</v>
      </c>
      <c r="Q11" s="99">
        <v>1543245.0000000009</v>
      </c>
      <c r="R11" s="51" t="s">
        <v>15</v>
      </c>
      <c r="S11" s="99">
        <v>15152045.269999983</v>
      </c>
      <c r="T11" s="99">
        <f t="shared" si="1"/>
        <v>0</v>
      </c>
      <c r="U11" s="99">
        <v>15694.450000001099</v>
      </c>
    </row>
    <row r="12" spans="1:21" x14ac:dyDescent="0.2">
      <c r="B12" s="50"/>
      <c r="D12" s="52" t="s">
        <v>16</v>
      </c>
      <c r="E12" s="65">
        <f t="shared" si="0"/>
        <v>278565.35000000021</v>
      </c>
      <c r="F12" s="50">
        <v>0</v>
      </c>
      <c r="G12" s="50">
        <v>350</v>
      </c>
      <c r="H12" s="50">
        <v>815.89999999999986</v>
      </c>
      <c r="I12" s="50">
        <v>0</v>
      </c>
      <c r="J12" s="50">
        <v>0</v>
      </c>
      <c r="K12" s="50">
        <v>44946.500000000036</v>
      </c>
      <c r="L12" s="50">
        <v>-3290.4</v>
      </c>
      <c r="M12" s="50">
        <f>171682.13+1000.00000000017</f>
        <v>172682.13000000018</v>
      </c>
      <c r="N12" s="50">
        <v>4049.09</v>
      </c>
      <c r="O12" s="50">
        <v>1620</v>
      </c>
      <c r="P12" s="51">
        <f>9392.13+40500</f>
        <v>49892.13</v>
      </c>
      <c r="Q12" s="99">
        <v>7500</v>
      </c>
      <c r="R12" s="51" t="s">
        <v>16</v>
      </c>
      <c r="S12" s="99">
        <v>278565.35000000021</v>
      </c>
      <c r="T12" s="99">
        <f t="shared" si="1"/>
        <v>0</v>
      </c>
      <c r="U12" s="99">
        <v>40500</v>
      </c>
    </row>
    <row r="13" spans="1:21" x14ac:dyDescent="0.2">
      <c r="B13" s="50"/>
      <c r="D13" s="52" t="s">
        <v>17</v>
      </c>
      <c r="E13" s="65">
        <f t="shared" si="0"/>
        <v>13397234.870000018</v>
      </c>
      <c r="F13" s="50">
        <v>48606.109999999986</v>
      </c>
      <c r="G13" s="50">
        <f>67238.6+3580.15000000013</f>
        <v>70818.750000000131</v>
      </c>
      <c r="H13" s="50">
        <f>1142256.26000001+1337.05999999167</f>
        <v>1143593.3200000017</v>
      </c>
      <c r="I13" s="50">
        <f>1147318.31+8164.14</f>
        <v>1155482.45</v>
      </c>
      <c r="J13" s="50">
        <v>1372314.1600000055</v>
      </c>
      <c r="K13" s="50">
        <f>1170647.16000001+6760.21999999601</f>
        <v>1177407.3800000059</v>
      </c>
      <c r="L13" s="50">
        <f>1440021.42000001+81456.0399999777</f>
        <v>1521477.4599999876</v>
      </c>
      <c r="M13" s="50">
        <f>1314374.69000001+162360.139999995</f>
        <v>1476734.830000005</v>
      </c>
      <c r="N13" s="50">
        <f>1231238.26000001+210066.539999992</f>
        <v>1441304.8000000021</v>
      </c>
      <c r="O13" s="50">
        <f>1239185.96000001+66340.0200000089</f>
        <v>1305525.9800000188</v>
      </c>
      <c r="P13" s="51">
        <f>1326743.53000001+67945.0199999753</f>
        <v>1394688.5499999854</v>
      </c>
      <c r="Q13" s="99">
        <v>1289281.0800000057</v>
      </c>
      <c r="R13" s="51" t="s">
        <v>17</v>
      </c>
      <c r="S13" s="99">
        <v>13397234.870000012</v>
      </c>
      <c r="T13" s="99">
        <f t="shared" si="1"/>
        <v>0</v>
      </c>
      <c r="U13" s="99">
        <v>67945.019999975295</v>
      </c>
    </row>
    <row r="14" spans="1:21" x14ac:dyDescent="0.2">
      <c r="B14" s="50"/>
      <c r="D14" s="52" t="s">
        <v>18</v>
      </c>
      <c r="E14" s="65">
        <f t="shared" si="0"/>
        <v>40136991.229999982</v>
      </c>
      <c r="F14" s="50">
        <f>902161.310000002-151.900000002235</f>
        <v>902009.4099999998</v>
      </c>
      <c r="G14" s="50">
        <f>1317728.15-234499.430000001</f>
        <v>1083228.7199999988</v>
      </c>
      <c r="H14" s="50">
        <f>1327756.7+11447.0299999974</f>
        <v>1339203.7299999974</v>
      </c>
      <c r="I14" s="50">
        <f>23715021.81+4963.6</f>
        <v>23719985.41</v>
      </c>
      <c r="J14" s="50">
        <f>1065313.77 + 9418.95999999344</f>
        <v>1074732.7299999935</v>
      </c>
      <c r="K14" s="50">
        <f>1315717.93+18904.8700000159</f>
        <v>1334622.8000000159</v>
      </c>
      <c r="L14" s="50">
        <f>1443954.77+10500.3199999928</f>
        <v>1454455.0899999929</v>
      </c>
      <c r="M14" s="50">
        <f>1410527.69+8947.89000000059</f>
        <v>1419475.5800000005</v>
      </c>
      <c r="N14" s="50">
        <f>1392111.38+18844.5</f>
        <v>1410955.88</v>
      </c>
      <c r="O14" s="50">
        <f>1083338.67+21061.4599999934</f>
        <v>1104400.1299999934</v>
      </c>
      <c r="P14" s="51">
        <f>1558541.98+31467.0399999842</f>
        <v>1590009.0199999842</v>
      </c>
      <c r="Q14" s="99">
        <v>3703912.7300000023</v>
      </c>
      <c r="R14" s="51" t="s">
        <v>18</v>
      </c>
      <c r="S14" s="99">
        <v>40136991.229999989</v>
      </c>
      <c r="T14" s="99">
        <f t="shared" si="1"/>
        <v>0</v>
      </c>
      <c r="U14" s="99">
        <v>31467.039999984201</v>
      </c>
    </row>
    <row r="15" spans="1:21" x14ac:dyDescent="0.2">
      <c r="A15" s="66" t="s">
        <v>52</v>
      </c>
      <c r="B15" s="130">
        <f>B6-C6</f>
        <v>95531752.059995413</v>
      </c>
      <c r="C15" s="67">
        <f>B15/$B$6</f>
        <v>7.2079689478076317E-2</v>
      </c>
      <c r="D15" s="52" t="s">
        <v>19</v>
      </c>
      <c r="E15" s="65">
        <f t="shared" si="0"/>
        <v>77694652.689999849</v>
      </c>
      <c r="F15" s="50">
        <v>2459260.4699999653</v>
      </c>
      <c r="G15" s="50">
        <v>6304768.9399999185</v>
      </c>
      <c r="H15" s="50">
        <v>6721791.7899999144</v>
      </c>
      <c r="I15" s="50">
        <v>6719298.1699999161</v>
      </c>
      <c r="J15" s="50">
        <v>6680159.0899999151</v>
      </c>
      <c r="K15" s="50">
        <v>6782048.3999999026</v>
      </c>
      <c r="L15" s="50">
        <v>6698085.3399999151</v>
      </c>
      <c r="M15" s="50">
        <v>7429609.3299999181</v>
      </c>
      <c r="N15" s="50">
        <v>6654457.4299999196</v>
      </c>
      <c r="O15" s="50">
        <f>6875154.54999991+203957.50000082</f>
        <v>7079112.05000073</v>
      </c>
      <c r="P15" s="51">
        <f>7121227.11999991+208280</f>
        <v>7329507.1199999098</v>
      </c>
      <c r="Q15" s="99">
        <v>6836554.5599999232</v>
      </c>
      <c r="R15" s="51" t="s">
        <v>19</v>
      </c>
      <c r="S15" s="99">
        <v>77694652.689999849</v>
      </c>
      <c r="T15" s="99">
        <f t="shared" si="1"/>
        <v>0</v>
      </c>
      <c r="U15" s="99">
        <v>208280</v>
      </c>
    </row>
    <row r="16" spans="1:21" x14ac:dyDescent="0.2">
      <c r="A16" s="66" t="s">
        <v>53</v>
      </c>
      <c r="B16" s="130">
        <f>C6</f>
        <v>1229831228.1600046</v>
      </c>
      <c r="C16" s="67">
        <f>B16/$B$6</f>
        <v>0.9279203105219237</v>
      </c>
      <c r="D16" s="52" t="s">
        <v>20</v>
      </c>
      <c r="E16" s="65">
        <f t="shared" si="0"/>
        <v>14534317.299999997</v>
      </c>
      <c r="F16" s="50">
        <f>817085.08-53607.0499999998</f>
        <v>763478.03000000014</v>
      </c>
      <c r="G16" s="50">
        <f>2710418.49-144659.630000001</f>
        <v>2565758.8599999994</v>
      </c>
      <c r="H16" s="50">
        <f>1214035.99+2641.18000000063</f>
        <v>1216677.1700000006</v>
      </c>
      <c r="I16" s="50">
        <v>997356.99999999977</v>
      </c>
      <c r="J16" s="50">
        <f>911581.85 + 13540.5299999993</f>
        <v>925122.37999999931</v>
      </c>
      <c r="K16" s="50">
        <v>1590055.7599999998</v>
      </c>
      <c r="L16" s="50">
        <v>868464.77999999956</v>
      </c>
      <c r="M16" s="50">
        <v>1054925.7899999998</v>
      </c>
      <c r="N16" s="50">
        <f>1244614.81+261.480000000447</f>
        <v>1244876.2900000005</v>
      </c>
      <c r="O16" s="50">
        <f>915613.89+1860.00000000186</f>
        <v>917473.89000000188</v>
      </c>
      <c r="P16" s="51">
        <f>1039612.33+2801.99999999627</f>
        <v>1042414.3299999962</v>
      </c>
      <c r="Q16" s="99">
        <v>1347713.02</v>
      </c>
      <c r="R16" s="51" t="s">
        <v>20</v>
      </c>
      <c r="S16" s="99">
        <v>14534317.299999997</v>
      </c>
      <c r="T16" s="99">
        <f t="shared" si="1"/>
        <v>0</v>
      </c>
      <c r="U16" s="99">
        <v>2801.9999999962702</v>
      </c>
    </row>
    <row r="17" spans="1:21" x14ac:dyDescent="0.2">
      <c r="A17" s="52"/>
      <c r="B17" s="49"/>
      <c r="C17" s="52"/>
      <c r="D17" s="68" t="s">
        <v>54</v>
      </c>
      <c r="E17" s="65">
        <f t="shared" si="0"/>
        <v>132599896.12</v>
      </c>
      <c r="F17" s="50">
        <f>7467041.91999999-482448.149999987</f>
        <v>6984593.7700000023</v>
      </c>
      <c r="G17" s="50">
        <f>11959707.38+127672.980000019</f>
        <v>12087380.36000002</v>
      </c>
      <c r="H17" s="50">
        <f>9749684.37999997+91950.9500000179</f>
        <v>9841635.329999987</v>
      </c>
      <c r="I17" s="50">
        <f>9963184.68999994+28391.17</f>
        <v>9991575.8599999398</v>
      </c>
      <c r="J17" s="50">
        <f>9465743.70999995 -574874.75999999</f>
        <v>8890868.9499999601</v>
      </c>
      <c r="K17" s="50">
        <f>10573443.54-2503.97999988496</f>
        <v>10570939.560000114</v>
      </c>
      <c r="L17" s="50">
        <v>9527834.4399999771</v>
      </c>
      <c r="M17" s="50">
        <f>8930783.62999993+114441.120000079</f>
        <v>9045224.7500000093</v>
      </c>
      <c r="N17" s="50">
        <f>12768307.0699999+69345.8700000644</f>
        <v>12837652.939999964</v>
      </c>
      <c r="O17" s="50">
        <f>11340999.67+1240.0000000298</f>
        <v>11342239.67000003</v>
      </c>
      <c r="P17" s="51">
        <f>11716399.9+40910.7700000405</f>
        <v>11757310.670000041</v>
      </c>
      <c r="Q17" s="99">
        <v>19722639.819999941</v>
      </c>
      <c r="R17" s="51" t="s">
        <v>54</v>
      </c>
      <c r="S17" s="99">
        <v>132599896.11999995</v>
      </c>
      <c r="T17" s="99">
        <f t="shared" si="1"/>
        <v>0</v>
      </c>
      <c r="U17" s="99">
        <v>40910.770000040502</v>
      </c>
    </row>
    <row r="18" spans="1:21" x14ac:dyDescent="0.2">
      <c r="B18" s="69"/>
      <c r="C18" s="52"/>
      <c r="D18" s="52" t="s">
        <v>21</v>
      </c>
      <c r="E18" s="65">
        <f t="shared" si="0"/>
        <v>64355166.920000017</v>
      </c>
      <c r="F18" s="50">
        <f>1831401.06-160712.99</f>
        <v>1670688.07</v>
      </c>
      <c r="G18" s="50">
        <f>1933177.85-4670.81999999843</f>
        <v>1928507.0300000017</v>
      </c>
      <c r="H18" s="50">
        <f>5047251.77+6097.30999999865</f>
        <v>5053349.0799999982</v>
      </c>
      <c r="I18" s="50">
        <f>5254602.81-2338.28</f>
        <v>5252264.5299999993</v>
      </c>
      <c r="J18" s="50">
        <f>6405332.17-6089.17999999225</f>
        <v>6399242.9900000077</v>
      </c>
      <c r="K18" s="50">
        <f>6839632.45-746.83999999985</f>
        <v>6838885.6100000003</v>
      </c>
      <c r="L18" s="50">
        <v>5120574.38</v>
      </c>
      <c r="M18" s="50">
        <f>6389568.62-2338.28000000864</f>
        <v>6387230.3399999915</v>
      </c>
      <c r="N18" s="50">
        <f>7114805.36+64665.3299999907</f>
        <v>7179470.6899999911</v>
      </c>
      <c r="O18" s="50">
        <f>5539021.5+620.000000022351</f>
        <v>5539641.5000000224</v>
      </c>
      <c r="P18" s="51">
        <f>5934734.22+635.000000014901</f>
        <v>5935369.2200000146</v>
      </c>
      <c r="Q18" s="99">
        <v>7049943.4799999995</v>
      </c>
      <c r="R18" s="51" t="s">
        <v>21</v>
      </c>
      <c r="S18" s="99">
        <v>64355166.920000017</v>
      </c>
      <c r="T18" s="99">
        <f t="shared" si="1"/>
        <v>0</v>
      </c>
      <c r="U18" s="99">
        <v>635.00000001490105</v>
      </c>
    </row>
    <row r="19" spans="1:21" x14ac:dyDescent="0.2">
      <c r="A19" s="52"/>
      <c r="B19" s="49"/>
      <c r="C19" s="52"/>
      <c r="D19" s="52" t="s">
        <v>22</v>
      </c>
      <c r="E19" s="65">
        <f t="shared" si="0"/>
        <v>27419117.579999972</v>
      </c>
      <c r="F19" s="50">
        <f>2565201.92-11227.7600000025</f>
        <v>2553974.1599999974</v>
      </c>
      <c r="G19" s="50">
        <f>2054985.04-314096.689999999</f>
        <v>1740888.350000001</v>
      </c>
      <c r="H19" s="50">
        <f>2540314.96+119.990000003948</f>
        <v>2540434.9500000039</v>
      </c>
      <c r="I19" s="50">
        <f>2196393.6+619.78</f>
        <v>2197013.38</v>
      </c>
      <c r="J19" s="50">
        <f>1840180.69 -49024.5200000051</f>
        <v>1791156.1699999948</v>
      </c>
      <c r="K19" s="50">
        <f>2141341.5+10303.9800000023</f>
        <v>2151645.4800000023</v>
      </c>
      <c r="L19" s="50">
        <f>2721008.96+2753.75999999791</f>
        <v>2723762.7199999979</v>
      </c>
      <c r="M19" s="50">
        <f>2366405.39+75346.159999989</f>
        <v>2441751.5499999891</v>
      </c>
      <c r="N19" s="50">
        <f>2447444.98+9400.18000000715</f>
        <v>2456845.1600000071</v>
      </c>
      <c r="O19" s="50">
        <f>2025533.9+14850.0000000037</f>
        <v>2040383.9000000036</v>
      </c>
      <c r="P19" s="51">
        <f>2320559.74+36894.1499999761</f>
        <v>2357453.8899999764</v>
      </c>
      <c r="Q19" s="99">
        <v>2423807.87</v>
      </c>
      <c r="R19" s="51" t="s">
        <v>22</v>
      </c>
      <c r="S19" s="99">
        <v>27419117.579999976</v>
      </c>
      <c r="T19" s="99">
        <f t="shared" si="1"/>
        <v>0</v>
      </c>
      <c r="U19" s="99">
        <v>36894.1499999761</v>
      </c>
    </row>
    <row r="20" spans="1:21" x14ac:dyDescent="0.2">
      <c r="A20" s="52"/>
      <c r="B20" s="49"/>
      <c r="C20" s="52"/>
      <c r="D20" s="52" t="s">
        <v>23</v>
      </c>
      <c r="E20" s="65">
        <f t="shared" si="0"/>
        <v>1094931.4999999998</v>
      </c>
      <c r="F20" s="50">
        <v>6534.65</v>
      </c>
      <c r="G20" s="50">
        <v>38103.199999999997</v>
      </c>
      <c r="H20" s="50">
        <v>115769.70000000001</v>
      </c>
      <c r="I20" s="50">
        <v>102312.44</v>
      </c>
      <c r="J20" s="50">
        <v>122293.98000000001</v>
      </c>
      <c r="K20" s="50">
        <v>99612.91</v>
      </c>
      <c r="L20" s="50">
        <v>60079.009999999995</v>
      </c>
      <c r="M20" s="50">
        <v>151061.89000000001</v>
      </c>
      <c r="N20" s="50">
        <v>103347.70000000001</v>
      </c>
      <c r="O20" s="50">
        <f>111536.35-15.0000000002328</f>
        <v>111521.34999999977</v>
      </c>
      <c r="P20" s="51">
        <v>131728.16999999998</v>
      </c>
      <c r="Q20" s="99">
        <v>52566.5</v>
      </c>
      <c r="R20" s="51" t="s">
        <v>23</v>
      </c>
      <c r="S20" s="99">
        <v>1094931.5</v>
      </c>
      <c r="T20" s="99">
        <f t="shared" si="1"/>
        <v>0</v>
      </c>
      <c r="U20" s="99">
        <v>0</v>
      </c>
    </row>
    <row r="21" spans="1:21" x14ac:dyDescent="0.2">
      <c r="A21" s="52"/>
      <c r="B21" s="49"/>
      <c r="C21" s="52"/>
      <c r="D21" s="52" t="s">
        <v>29</v>
      </c>
      <c r="E21" s="65">
        <f t="shared" si="0"/>
        <v>859861.58999999939</v>
      </c>
      <c r="F21" s="50">
        <v>0</v>
      </c>
      <c r="G21" s="50">
        <v>0</v>
      </c>
      <c r="H21" s="50">
        <v>0</v>
      </c>
      <c r="I21" s="50">
        <v>0</v>
      </c>
      <c r="J21" s="50">
        <v>0</v>
      </c>
      <c r="K21" s="50">
        <f>96690.9-9478.5</f>
        <v>87212.4</v>
      </c>
      <c r="L21" s="50">
        <f>1672.4-625.900000000139</f>
        <v>1046.4999999998611</v>
      </c>
      <c r="M21" s="50">
        <f>654279.78-62532.6400000007</f>
        <v>591747.13999999932</v>
      </c>
      <c r="N21" s="50">
        <v>1076.5</v>
      </c>
      <c r="O21" s="50">
        <v>0</v>
      </c>
      <c r="P21" s="51">
        <f>198474.6-19695.5499999998</f>
        <v>178779.05000000022</v>
      </c>
      <c r="Q21" s="99">
        <v>0</v>
      </c>
      <c r="R21" s="51" t="s">
        <v>29</v>
      </c>
      <c r="S21" s="99">
        <v>859861.58999999927</v>
      </c>
      <c r="T21" s="99">
        <f t="shared" si="1"/>
        <v>0</v>
      </c>
      <c r="U21" s="99">
        <v>-19695.549999999814</v>
      </c>
    </row>
    <row r="22" spans="1:21" x14ac:dyDescent="0.2">
      <c r="A22" s="52"/>
      <c r="B22" s="49"/>
      <c r="C22" s="52"/>
      <c r="D22" s="52" t="s">
        <v>30</v>
      </c>
      <c r="E22" s="65">
        <f t="shared" si="0"/>
        <v>4588.75</v>
      </c>
      <c r="F22" s="50">
        <v>0</v>
      </c>
      <c r="G22" s="50">
        <v>0</v>
      </c>
      <c r="H22" s="50">
        <v>0</v>
      </c>
      <c r="I22" s="50">
        <v>420</v>
      </c>
      <c r="J22" s="50">
        <v>2543.75</v>
      </c>
      <c r="K22" s="50">
        <v>0</v>
      </c>
      <c r="L22" s="50">
        <v>0</v>
      </c>
      <c r="M22" s="50">
        <v>1625</v>
      </c>
      <c r="N22" s="50">
        <v>0</v>
      </c>
      <c r="O22" s="50">
        <v>0</v>
      </c>
      <c r="P22" s="51">
        <v>0</v>
      </c>
      <c r="Q22" s="99">
        <v>0</v>
      </c>
      <c r="R22" s="51" t="s">
        <v>30</v>
      </c>
      <c r="S22" s="99">
        <v>4588.75</v>
      </c>
      <c r="T22" s="99">
        <f t="shared" si="1"/>
        <v>0</v>
      </c>
      <c r="U22" s="99">
        <v>0</v>
      </c>
    </row>
    <row r="23" spans="1:21" x14ac:dyDescent="0.2">
      <c r="A23" s="52"/>
      <c r="B23" s="49"/>
      <c r="C23" s="52"/>
      <c r="D23" s="52" t="s">
        <v>25</v>
      </c>
      <c r="E23" s="65">
        <f t="shared" si="0"/>
        <v>420000</v>
      </c>
      <c r="F23" s="50">
        <v>0</v>
      </c>
      <c r="G23" s="50">
        <v>0</v>
      </c>
      <c r="H23" s="50">
        <v>0</v>
      </c>
      <c r="I23" s="50">
        <v>0</v>
      </c>
      <c r="J23" s="50">
        <v>0</v>
      </c>
      <c r="K23" s="50">
        <v>0</v>
      </c>
      <c r="L23" s="50">
        <v>0</v>
      </c>
      <c r="M23" s="50">
        <v>0</v>
      </c>
      <c r="N23" s="50">
        <v>0</v>
      </c>
      <c r="O23" s="50">
        <v>0</v>
      </c>
      <c r="P23" s="51">
        <v>420000</v>
      </c>
      <c r="Q23" s="99">
        <v>0</v>
      </c>
      <c r="R23" s="51" t="s">
        <v>25</v>
      </c>
      <c r="S23" s="99">
        <v>420000</v>
      </c>
      <c r="T23" s="99">
        <f t="shared" si="1"/>
        <v>0</v>
      </c>
      <c r="U23" s="99">
        <v>0</v>
      </c>
    </row>
    <row r="24" spans="1:21" ht="13.5" thickBot="1" x14ac:dyDescent="0.25">
      <c r="A24" s="52"/>
      <c r="B24" s="49"/>
      <c r="C24" s="52"/>
      <c r="D24" s="52" t="s">
        <v>24</v>
      </c>
      <c r="E24" s="65">
        <f t="shared" si="0"/>
        <v>0</v>
      </c>
      <c r="F24" s="50">
        <v>0</v>
      </c>
      <c r="G24" s="50">
        <v>0</v>
      </c>
      <c r="H24" s="50">
        <v>0</v>
      </c>
      <c r="I24" s="50">
        <v>0</v>
      </c>
      <c r="J24" s="50">
        <v>0</v>
      </c>
      <c r="K24" s="50">
        <v>0</v>
      </c>
      <c r="L24" s="50">
        <v>0</v>
      </c>
      <c r="M24" s="50">
        <v>0</v>
      </c>
      <c r="N24" s="50">
        <v>0</v>
      </c>
      <c r="O24" s="50">
        <v>0</v>
      </c>
      <c r="P24" s="51">
        <v>0</v>
      </c>
      <c r="Q24" s="99">
        <v>0</v>
      </c>
      <c r="R24" s="51" t="s">
        <v>24</v>
      </c>
      <c r="S24" s="99">
        <v>0</v>
      </c>
      <c r="T24" s="99">
        <f t="shared" si="1"/>
        <v>0</v>
      </c>
      <c r="U24" s="99">
        <v>0</v>
      </c>
    </row>
    <row r="25" spans="1:21" ht="13.5" thickBot="1" x14ac:dyDescent="0.25">
      <c r="A25" s="52"/>
      <c r="B25" s="49"/>
      <c r="C25" s="52"/>
      <c r="D25" s="70" t="s">
        <v>55</v>
      </c>
      <c r="E25" s="71">
        <f>SUM(E9:E24)</f>
        <v>1229831228.1600044</v>
      </c>
      <c r="F25" s="72">
        <f t="shared" ref="F25:Q25" si="2">SUM(F9:F24)</f>
        <v>26210013.069999952</v>
      </c>
      <c r="G25" s="72">
        <f t="shared" si="2"/>
        <v>41516274.959999844</v>
      </c>
      <c r="H25" s="72">
        <f t="shared" si="2"/>
        <v>106138015.66999985</v>
      </c>
      <c r="I25" s="72">
        <f t="shared" si="2"/>
        <v>129626681.96000127</v>
      </c>
      <c r="J25" s="72">
        <f t="shared" si="2"/>
        <v>109452845.67000102</v>
      </c>
      <c r="K25" s="72">
        <f t="shared" si="2"/>
        <v>111191917.34999824</v>
      </c>
      <c r="L25" s="72">
        <f t="shared" si="2"/>
        <v>106363956.16000237</v>
      </c>
      <c r="M25" s="72">
        <f t="shared" si="2"/>
        <v>124784680.79999778</v>
      </c>
      <c r="N25" s="72">
        <f t="shared" si="2"/>
        <v>111389107.71000208</v>
      </c>
      <c r="O25" s="72">
        <f t="shared" si="2"/>
        <v>114515726.82999709</v>
      </c>
      <c r="P25" s="72">
        <f t="shared" si="2"/>
        <v>121982299.21000367</v>
      </c>
      <c r="Q25" s="72">
        <f t="shared" si="2"/>
        <v>126659708.77000146</v>
      </c>
      <c r="S25" s="127">
        <v>0</v>
      </c>
      <c r="T25" s="127">
        <f t="shared" ref="T25:U25" si="3">SUM(T9:T24)</f>
        <v>0</v>
      </c>
      <c r="U25" s="127">
        <f t="shared" si="3"/>
        <v>3956652.6200020295</v>
      </c>
    </row>
    <row r="26" spans="1:21" x14ac:dyDescent="0.2">
      <c r="A26" s="52"/>
      <c r="B26" s="49"/>
      <c r="C26" s="52"/>
      <c r="D26" s="52"/>
      <c r="E26" s="52"/>
      <c r="F26" s="49"/>
      <c r="G26" s="49"/>
    </row>
    <row r="27" spans="1:21" ht="29.25" customHeight="1" x14ac:dyDescent="0.2">
      <c r="A27" s="11"/>
      <c r="B27" s="162" t="s">
        <v>81</v>
      </c>
      <c r="C27" s="162"/>
      <c r="D27" s="162"/>
      <c r="E27" s="162"/>
      <c r="F27" s="162"/>
      <c r="G27" s="73"/>
    </row>
    <row r="28" spans="1:21" x14ac:dyDescent="0.2">
      <c r="A28" s="52"/>
      <c r="B28" s="49"/>
      <c r="C28" s="52"/>
      <c r="D28" s="52"/>
      <c r="E28" s="132"/>
      <c r="F28" s="49"/>
      <c r="G28" s="49"/>
    </row>
    <row r="29" spans="1:21" ht="29.25" customHeight="1" x14ac:dyDescent="0.2">
      <c r="B29" s="162" t="str">
        <f>"GENERAL OPERATIONS" &amp; " YTD EXPENSES"&amp;CHAR(10)&amp;TEXT(C6,"$#,##0")</f>
        <v>GENERAL OPERATIONS YTD EXPENSES
$1,229,831,228</v>
      </c>
      <c r="C29" s="162"/>
      <c r="D29" s="162"/>
      <c r="E29" s="162"/>
      <c r="F29" s="162"/>
      <c r="G29" s="73"/>
      <c r="H29" s="131" t="s">
        <v>82</v>
      </c>
    </row>
    <row r="30" spans="1:21" x14ac:dyDescent="0.2">
      <c r="A30" s="52"/>
      <c r="B30" s="49"/>
      <c r="C30" s="52"/>
      <c r="D30" s="52"/>
      <c r="E30" s="52"/>
      <c r="F30" s="49"/>
      <c r="G30" s="49"/>
    </row>
    <row r="31" spans="1:21" x14ac:dyDescent="0.2">
      <c r="A31" s="52"/>
      <c r="B31" s="49">
        <v>1197491160.8699994</v>
      </c>
      <c r="C31" s="52">
        <v>1139032581.8400021</v>
      </c>
      <c r="D31" s="52"/>
      <c r="E31" s="52"/>
      <c r="F31" s="49"/>
      <c r="G31" s="49"/>
    </row>
    <row r="32" spans="1:21" x14ac:dyDescent="0.2">
      <c r="A32" s="52"/>
      <c r="B32" s="49"/>
      <c r="C32" s="52"/>
      <c r="D32" s="52"/>
      <c r="E32" s="49"/>
      <c r="F32" s="49"/>
      <c r="G32" s="49"/>
    </row>
    <row r="33" spans="1:21" x14ac:dyDescent="0.2">
      <c r="A33" s="74"/>
      <c r="B33" s="75"/>
      <c r="C33" s="74"/>
      <c r="D33" s="74"/>
      <c r="E33" s="74"/>
      <c r="F33" s="75"/>
      <c r="G33" s="75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7"/>
    </row>
    <row r="34" spans="1:21" x14ac:dyDescent="0.2">
      <c r="A34" s="52"/>
      <c r="B34" s="49"/>
      <c r="C34" s="52"/>
      <c r="D34" s="52"/>
      <c r="E34" s="52"/>
      <c r="F34" s="49"/>
      <c r="G34" s="49"/>
    </row>
    <row r="35" spans="1:21" x14ac:dyDescent="0.2">
      <c r="A35" s="52"/>
      <c r="B35" s="49"/>
      <c r="C35" s="52"/>
      <c r="D35" s="52"/>
      <c r="E35" s="52"/>
      <c r="F35" s="49"/>
      <c r="G35" s="49"/>
    </row>
    <row r="36" spans="1:21" ht="13.5" thickBot="1" x14ac:dyDescent="0.25">
      <c r="H36" s="51"/>
      <c r="I36" s="51"/>
      <c r="J36" s="51"/>
      <c r="K36" s="51"/>
      <c r="L36" s="51"/>
      <c r="M36" s="51"/>
      <c r="N36" s="51"/>
      <c r="O36" s="51"/>
      <c r="P36" s="51"/>
      <c r="Q36" s="51"/>
    </row>
    <row r="37" spans="1:21" ht="13.5" thickBot="1" x14ac:dyDescent="0.25">
      <c r="A37" s="163" t="s">
        <v>56</v>
      </c>
      <c r="B37" s="164"/>
      <c r="C37" s="164"/>
      <c r="D37" s="164"/>
      <c r="E37" s="164"/>
      <c r="F37" s="165"/>
      <c r="G37" s="52"/>
      <c r="H37" s="51"/>
      <c r="I37" s="51"/>
      <c r="J37" s="51"/>
      <c r="K37" s="51"/>
      <c r="L37" s="51"/>
      <c r="M37" s="51"/>
      <c r="N37" s="51"/>
      <c r="O37" s="51"/>
      <c r="P37" s="51"/>
      <c r="Q37" s="51"/>
    </row>
    <row r="38" spans="1:21" ht="13.5" thickBot="1" x14ac:dyDescent="0.25">
      <c r="B38" s="50"/>
      <c r="D38" s="52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</row>
    <row r="39" spans="1:21" ht="26.25" thickBot="1" x14ac:dyDescent="0.25">
      <c r="B39" s="78" t="s">
        <v>57</v>
      </c>
      <c r="C39" s="79" t="s">
        <v>58</v>
      </c>
      <c r="D39" s="80" t="s">
        <v>59</v>
      </c>
      <c r="E39" s="81" t="s">
        <v>40</v>
      </c>
      <c r="F39" s="82" t="s">
        <v>41</v>
      </c>
      <c r="G39" s="82" t="s">
        <v>42</v>
      </c>
      <c r="H39" s="82" t="s">
        <v>43</v>
      </c>
      <c r="I39" s="82" t="s">
        <v>44</v>
      </c>
      <c r="J39" s="82" t="s">
        <v>45</v>
      </c>
      <c r="K39" s="82" t="s">
        <v>46</v>
      </c>
      <c r="L39" s="82" t="s">
        <v>47</v>
      </c>
      <c r="M39" s="82" t="s">
        <v>48</v>
      </c>
      <c r="N39" s="82" t="s">
        <v>49</v>
      </c>
      <c r="O39" s="82" t="s">
        <v>50</v>
      </c>
      <c r="P39" s="83" t="s">
        <v>51</v>
      </c>
      <c r="Q39" s="51"/>
      <c r="R39" s="84"/>
      <c r="S39" s="133"/>
      <c r="T39" s="133"/>
    </row>
    <row r="40" spans="1:21" s="84" customFormat="1" x14ac:dyDescent="0.2">
      <c r="A40" s="84" t="s">
        <v>8</v>
      </c>
      <c r="B40" s="85">
        <v>800559106.48000002</v>
      </c>
      <c r="C40" s="86">
        <f>SUM(E40:P40)</f>
        <v>794384863.08000004</v>
      </c>
      <c r="D40" s="87">
        <f>C40/B40</f>
        <v>0.99228758582592647</v>
      </c>
      <c r="E40" s="134">
        <v>283416.8200000003</v>
      </c>
      <c r="F40" s="134">
        <v>23622403.879999999</v>
      </c>
      <c r="G40" s="134">
        <v>232065648.81</v>
      </c>
      <c r="H40" s="134">
        <v>175157418.03</v>
      </c>
      <c r="I40" s="134">
        <f>252258921.69 -2408354.35000002</f>
        <v>249850567.33999997</v>
      </c>
      <c r="J40" s="134">
        <v>54090759.909999996</v>
      </c>
      <c r="K40" s="134">
        <v>15141582.530000001</v>
      </c>
      <c r="L40" s="134">
        <v>7855291.2700000005</v>
      </c>
      <c r="M40" s="134">
        <f>13849974.87+190657.920000196</f>
        <v>14040632.790000195</v>
      </c>
      <c r="N40" s="134">
        <v>8157995.29</v>
      </c>
      <c r="O40" s="134">
        <v>6438975.5700000003</v>
      </c>
      <c r="P40" s="134">
        <v>7680170.8399999999</v>
      </c>
      <c r="R40" s="141"/>
      <c r="S40" s="147">
        <v>794384863.08000004</v>
      </c>
      <c r="T40" s="133">
        <f>S40-C40</f>
        <v>0</v>
      </c>
      <c r="U40" s="133">
        <v>0</v>
      </c>
    </row>
    <row r="41" spans="1:21" s="84" customFormat="1" x14ac:dyDescent="0.2">
      <c r="A41" s="84" t="s">
        <v>9</v>
      </c>
      <c r="B41" s="88">
        <v>90000</v>
      </c>
      <c r="C41" s="89">
        <f>SUM(E41:P41)</f>
        <v>14244859.5</v>
      </c>
      <c r="D41" s="90">
        <f>C41/B41</f>
        <v>158.27621666666667</v>
      </c>
      <c r="E41" s="135">
        <v>186624.72</v>
      </c>
      <c r="F41" s="135">
        <v>225298.27</v>
      </c>
      <c r="G41" s="135">
        <v>278710.13</v>
      </c>
      <c r="H41" s="135">
        <v>614426.56999999995</v>
      </c>
      <c r="I41" s="135">
        <f>446568.35 + 635413.3</f>
        <v>1081981.6499999999</v>
      </c>
      <c r="J41" s="135">
        <v>1560074.4</v>
      </c>
      <c r="K41" s="135">
        <v>1722581.35</v>
      </c>
      <c r="L41" s="135">
        <v>1798555.78</v>
      </c>
      <c r="M41" s="135">
        <v>1896424.91</v>
      </c>
      <c r="N41" s="135">
        <v>1759770.02</v>
      </c>
      <c r="O41" s="135">
        <v>1631400.9</v>
      </c>
      <c r="P41" s="135">
        <v>1489010.8</v>
      </c>
      <c r="R41" s="141"/>
      <c r="S41" s="147">
        <v>14244859.5</v>
      </c>
      <c r="T41" s="133">
        <f t="shared" ref="T41:T43" si="4">S41-C41</f>
        <v>0</v>
      </c>
      <c r="U41" s="133">
        <v>0</v>
      </c>
    </row>
    <row r="42" spans="1:21" s="84" customFormat="1" x14ac:dyDescent="0.2">
      <c r="A42" s="84" t="s">
        <v>10</v>
      </c>
      <c r="B42" s="88">
        <v>503441425.62</v>
      </c>
      <c r="C42" s="89">
        <f>SUM(E42:P42)</f>
        <v>521902754.03999996</v>
      </c>
      <c r="D42" s="90">
        <f>C42/B42</f>
        <v>1.0366702608893663</v>
      </c>
      <c r="E42" s="135">
        <v>5367835.4800000004</v>
      </c>
      <c r="F42" s="135">
        <f>5752262.79+40986.0000000074</f>
        <v>5793248.7900000075</v>
      </c>
      <c r="G42" s="135">
        <v>48556637</v>
      </c>
      <c r="H42" s="135">
        <v>48732788</v>
      </c>
      <c r="I42" s="135">
        <f>48714026 -38067.0000000298</f>
        <v>48675958.99999997</v>
      </c>
      <c r="J42" s="135">
        <v>48675959</v>
      </c>
      <c r="K42" s="135">
        <v>48863713.230000004</v>
      </c>
      <c r="L42" s="135">
        <v>48691038.280000001</v>
      </c>
      <c r="M42" s="135">
        <v>49519466.850000001</v>
      </c>
      <c r="N42" s="135">
        <v>56068717</v>
      </c>
      <c r="O42" s="135">
        <v>56590449.210000001</v>
      </c>
      <c r="P42" s="135">
        <v>56366942.200000003</v>
      </c>
      <c r="R42" s="141"/>
      <c r="S42" s="147">
        <v>521902754.03999996</v>
      </c>
      <c r="T42" s="133">
        <f t="shared" si="4"/>
        <v>0</v>
      </c>
      <c r="U42" s="133">
        <v>0</v>
      </c>
    </row>
    <row r="43" spans="1:21" s="84" customFormat="1" ht="13.5" thickBot="1" x14ac:dyDescent="0.25">
      <c r="A43" s="84" t="s">
        <v>11</v>
      </c>
      <c r="B43" s="91">
        <v>1448256</v>
      </c>
      <c r="C43" s="89">
        <f>SUM(E43:P43)</f>
        <v>49492.66</v>
      </c>
      <c r="D43" s="92">
        <f>C43/B43</f>
        <v>3.4173972004949406E-2</v>
      </c>
      <c r="E43" s="136">
        <v>0</v>
      </c>
      <c r="F43" s="136">
        <v>9801</v>
      </c>
      <c r="G43" s="136">
        <v>0</v>
      </c>
      <c r="H43" s="136">
        <v>0</v>
      </c>
      <c r="I43" s="136">
        <v>0</v>
      </c>
      <c r="J43" s="136">
        <v>1091.3800000000001</v>
      </c>
      <c r="K43" s="136">
        <v>-1143</v>
      </c>
      <c r="L43" s="136">
        <v>0</v>
      </c>
      <c r="M43" s="136">
        <v>0</v>
      </c>
      <c r="N43" s="136">
        <v>0</v>
      </c>
      <c r="O43" s="136">
        <v>0</v>
      </c>
      <c r="P43" s="136">
        <v>39743.279999999999</v>
      </c>
      <c r="R43" s="142"/>
      <c r="S43" s="147">
        <v>49492.66</v>
      </c>
      <c r="T43" s="133">
        <f t="shared" si="4"/>
        <v>0</v>
      </c>
      <c r="U43" s="133">
        <v>0</v>
      </c>
    </row>
    <row r="44" spans="1:21" s="93" customFormat="1" ht="12.75" customHeight="1" thickBot="1" x14ac:dyDescent="0.25">
      <c r="B44" s="94">
        <f>SUM(B40:B43)</f>
        <v>1305538788.0999999</v>
      </c>
      <c r="C44" s="95">
        <f>SUM(C40:C43)</f>
        <v>1330581969.28</v>
      </c>
      <c r="D44" s="96">
        <f>C44/B44</f>
        <v>1.0191822574773488</v>
      </c>
      <c r="E44" s="97">
        <f>SUM(E40:E43)</f>
        <v>5837877.0200000005</v>
      </c>
      <c r="F44" s="98">
        <f t="shared" ref="F44:P44" si="5">SUM(F40:F43)</f>
        <v>29650751.940000005</v>
      </c>
      <c r="G44" s="98">
        <f t="shared" si="5"/>
        <v>280900995.94</v>
      </c>
      <c r="H44" s="98">
        <f t="shared" si="5"/>
        <v>224504632.59999999</v>
      </c>
      <c r="I44" s="98">
        <f t="shared" si="5"/>
        <v>299608507.98999995</v>
      </c>
      <c r="J44" s="98">
        <f t="shared" si="5"/>
        <v>104327884.69</v>
      </c>
      <c r="K44" s="98">
        <f t="shared" si="5"/>
        <v>65726734.110000007</v>
      </c>
      <c r="L44" s="98">
        <f t="shared" si="5"/>
        <v>58344885.329999998</v>
      </c>
      <c r="M44" s="98">
        <f t="shared" si="5"/>
        <v>65456524.550000198</v>
      </c>
      <c r="N44" s="98">
        <f t="shared" si="5"/>
        <v>65986482.310000002</v>
      </c>
      <c r="O44" s="98">
        <f t="shared" si="5"/>
        <v>64660825.68</v>
      </c>
      <c r="P44" s="98">
        <f t="shared" si="5"/>
        <v>65575867.120000005</v>
      </c>
      <c r="Q44" s="51"/>
      <c r="R44" s="50"/>
      <c r="S44" s="99"/>
      <c r="T44" s="99"/>
      <c r="U44" s="149"/>
    </row>
    <row r="45" spans="1:21" ht="13.5" thickBot="1" x14ac:dyDescent="0.25">
      <c r="B45" s="50"/>
      <c r="C45" s="99"/>
      <c r="E45" s="50"/>
      <c r="L45" s="51"/>
      <c r="M45" s="51"/>
      <c r="N45" s="51"/>
      <c r="O45" s="51"/>
      <c r="P45" s="51"/>
      <c r="Q45" s="51"/>
    </row>
    <row r="46" spans="1:21" s="93" customFormat="1" ht="12.75" customHeight="1" x14ac:dyDescent="0.2">
      <c r="A46" s="100" t="s">
        <v>60</v>
      </c>
      <c r="B46" s="101">
        <f>+B40+B41+B43</f>
        <v>802097362.48000002</v>
      </c>
      <c r="C46" s="86">
        <f>+C40+C41+C43</f>
        <v>808679215.24000001</v>
      </c>
      <c r="D46" s="102">
        <f>C46/B46</f>
        <v>1.0082058027714362</v>
      </c>
      <c r="E46" s="103">
        <f>+E40+E41+E43</f>
        <v>470041.54000000027</v>
      </c>
      <c r="F46" s="103">
        <f t="shared" ref="F46:P46" si="6">+F40+F41+F43</f>
        <v>23857503.149999999</v>
      </c>
      <c r="G46" s="103">
        <f t="shared" si="6"/>
        <v>232344358.94</v>
      </c>
      <c r="H46" s="103">
        <f t="shared" si="6"/>
        <v>175771844.59999999</v>
      </c>
      <c r="I46" s="103">
        <f t="shared" si="6"/>
        <v>250932548.98999998</v>
      </c>
      <c r="J46" s="103">
        <f t="shared" si="6"/>
        <v>55651925.689999998</v>
      </c>
      <c r="K46" s="103">
        <f t="shared" si="6"/>
        <v>16863020.880000003</v>
      </c>
      <c r="L46" s="103">
        <f t="shared" si="6"/>
        <v>9653847.0500000007</v>
      </c>
      <c r="M46" s="103">
        <f t="shared" si="6"/>
        <v>15937057.700000195</v>
      </c>
      <c r="N46" s="103">
        <f t="shared" si="6"/>
        <v>9917765.3100000005</v>
      </c>
      <c r="O46" s="103">
        <f t="shared" si="6"/>
        <v>8070376.4700000007</v>
      </c>
      <c r="P46" s="103">
        <f t="shared" si="6"/>
        <v>9208924.9199999999</v>
      </c>
      <c r="Q46" s="51"/>
      <c r="R46" s="51"/>
      <c r="S46" s="99"/>
      <c r="T46" s="99"/>
      <c r="U46" s="149"/>
    </row>
    <row r="47" spans="1:21" s="93" customFormat="1" ht="12.75" customHeight="1" thickBot="1" x14ac:dyDescent="0.25">
      <c r="A47" s="100" t="s">
        <v>61</v>
      </c>
      <c r="B47" s="104">
        <f>B42</f>
        <v>503441425.62</v>
      </c>
      <c r="C47" s="105">
        <f>C71</f>
        <v>521902754.03999996</v>
      </c>
      <c r="D47" s="106">
        <f>C47/B47</f>
        <v>1.0366702608893663</v>
      </c>
      <c r="E47" s="107">
        <f>E42</f>
        <v>5367835.4800000004</v>
      </c>
      <c r="F47" s="107">
        <f t="shared" ref="F47:P47" si="7">F42</f>
        <v>5793248.7900000075</v>
      </c>
      <c r="G47" s="107">
        <f t="shared" si="7"/>
        <v>48556637</v>
      </c>
      <c r="H47" s="107">
        <f t="shared" si="7"/>
        <v>48732788</v>
      </c>
      <c r="I47" s="107">
        <f t="shared" si="7"/>
        <v>48675958.99999997</v>
      </c>
      <c r="J47" s="107">
        <f t="shared" si="7"/>
        <v>48675959</v>
      </c>
      <c r="K47" s="107">
        <f t="shared" si="7"/>
        <v>48863713.230000004</v>
      </c>
      <c r="L47" s="107">
        <f t="shared" si="7"/>
        <v>48691038.280000001</v>
      </c>
      <c r="M47" s="107">
        <f t="shared" si="7"/>
        <v>49519466.850000001</v>
      </c>
      <c r="N47" s="107">
        <f t="shared" si="7"/>
        <v>56068717</v>
      </c>
      <c r="O47" s="107">
        <f t="shared" si="7"/>
        <v>56590449.210000001</v>
      </c>
      <c r="P47" s="107">
        <f t="shared" si="7"/>
        <v>56366942.200000003</v>
      </c>
      <c r="Q47" s="51"/>
      <c r="R47" s="51"/>
      <c r="S47" s="99"/>
      <c r="T47" s="99"/>
      <c r="U47" s="149"/>
    </row>
    <row r="48" spans="1:21" s="93" customFormat="1" ht="12.75" customHeight="1" thickBot="1" x14ac:dyDescent="0.25">
      <c r="B48" s="94">
        <f>SUM(B46:B47)</f>
        <v>1305538788.0999999</v>
      </c>
      <c r="C48" s="108">
        <f>SUM(E48:P48)</f>
        <v>1330581969.2800002</v>
      </c>
      <c r="D48" s="109">
        <f>C48/B48</f>
        <v>1.019182257477349</v>
      </c>
      <c r="E48" s="110">
        <f>+E46+E47</f>
        <v>5837877.0200000005</v>
      </c>
      <c r="F48" s="111">
        <f t="shared" ref="F48:P48" si="8">+F46+F47</f>
        <v>29650751.940000005</v>
      </c>
      <c r="G48" s="111">
        <f t="shared" si="8"/>
        <v>280900995.94</v>
      </c>
      <c r="H48" s="111">
        <f t="shared" si="8"/>
        <v>224504632.59999999</v>
      </c>
      <c r="I48" s="111">
        <f t="shared" si="8"/>
        <v>299608507.98999995</v>
      </c>
      <c r="J48" s="111">
        <f t="shared" si="8"/>
        <v>104327884.69</v>
      </c>
      <c r="K48" s="111">
        <f t="shared" si="8"/>
        <v>65726734.110000007</v>
      </c>
      <c r="L48" s="111">
        <f t="shared" si="8"/>
        <v>58344885.329999998</v>
      </c>
      <c r="M48" s="111">
        <f t="shared" si="8"/>
        <v>65456524.550000198</v>
      </c>
      <c r="N48" s="111">
        <f t="shared" si="8"/>
        <v>65986482.310000002</v>
      </c>
      <c r="O48" s="111">
        <f t="shared" si="8"/>
        <v>64660825.68</v>
      </c>
      <c r="P48" s="112">
        <f t="shared" si="8"/>
        <v>65575867.120000005</v>
      </c>
      <c r="Q48" s="51"/>
      <c r="R48" s="51"/>
      <c r="S48" s="99"/>
      <c r="T48" s="99"/>
      <c r="U48" s="149"/>
    </row>
    <row r="49" spans="1:21" s="93" customFormat="1" ht="12.75" customHeight="1" thickBot="1" x14ac:dyDescent="0.25"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99"/>
      <c r="T49" s="99"/>
      <c r="U49" s="149"/>
    </row>
    <row r="50" spans="1:21" s="93" customFormat="1" ht="12.75" customHeight="1" thickBot="1" x14ac:dyDescent="0.25">
      <c r="C50" s="155" t="s">
        <v>62</v>
      </c>
      <c r="D50" s="156"/>
      <c r="E50" s="113" t="s">
        <v>40</v>
      </c>
      <c r="F50" s="114" t="s">
        <v>41</v>
      </c>
      <c r="G50" s="114" t="s">
        <v>42</v>
      </c>
      <c r="H50" s="114" t="s">
        <v>43</v>
      </c>
      <c r="I50" s="114" t="s">
        <v>44</v>
      </c>
      <c r="J50" s="114" t="s">
        <v>45</v>
      </c>
      <c r="K50" s="114" t="s">
        <v>46</v>
      </c>
      <c r="L50" s="114" t="s">
        <v>47</v>
      </c>
      <c r="M50" s="114" t="s">
        <v>48</v>
      </c>
      <c r="N50" s="114" t="s">
        <v>49</v>
      </c>
      <c r="O50" s="114" t="s">
        <v>50</v>
      </c>
      <c r="P50" s="54" t="s">
        <v>51</v>
      </c>
      <c r="Q50" s="51"/>
      <c r="R50" s="51"/>
      <c r="S50" s="99"/>
      <c r="T50" s="99"/>
      <c r="U50" s="149"/>
    </row>
    <row r="51" spans="1:21" s="93" customFormat="1" ht="12.75" customHeight="1" x14ac:dyDescent="0.2">
      <c r="C51" s="115" t="s">
        <v>60</v>
      </c>
      <c r="D51" s="51"/>
      <c r="E51" s="50">
        <f>E46</f>
        <v>470041.54000000027</v>
      </c>
      <c r="F51" s="50">
        <f>E51+F46</f>
        <v>24327544.689999998</v>
      </c>
      <c r="G51" s="50">
        <f t="shared" ref="G51:P52" si="9">F51+G46</f>
        <v>256671903.63</v>
      </c>
      <c r="H51" s="50">
        <f t="shared" si="9"/>
        <v>432443748.23000002</v>
      </c>
      <c r="I51" s="50">
        <f t="shared" si="9"/>
        <v>683376297.22000003</v>
      </c>
      <c r="J51" s="50">
        <f t="shared" si="9"/>
        <v>739028222.91000009</v>
      </c>
      <c r="K51" s="50">
        <f t="shared" si="9"/>
        <v>755891243.79000008</v>
      </c>
      <c r="L51" s="50">
        <f t="shared" si="9"/>
        <v>765545090.84000003</v>
      </c>
      <c r="M51" s="50">
        <f t="shared" si="9"/>
        <v>781482148.5400002</v>
      </c>
      <c r="N51" s="50">
        <f t="shared" si="9"/>
        <v>791399913.85000014</v>
      </c>
      <c r="O51" s="50">
        <f t="shared" si="9"/>
        <v>799470290.32000017</v>
      </c>
      <c r="P51" s="50">
        <f t="shared" si="9"/>
        <v>808679215.24000013</v>
      </c>
      <c r="Q51" s="51"/>
      <c r="R51" s="51"/>
      <c r="S51" s="99"/>
      <c r="T51" s="99"/>
      <c r="U51" s="149"/>
    </row>
    <row r="52" spans="1:21" s="93" customFormat="1" ht="12.75" customHeight="1" thickBot="1" x14ac:dyDescent="0.25">
      <c r="C52" s="115" t="s">
        <v>61</v>
      </c>
      <c r="D52" s="51"/>
      <c r="E52" s="50">
        <f>E47</f>
        <v>5367835.4800000004</v>
      </c>
      <c r="F52" s="50">
        <f>E52+F47</f>
        <v>11161084.270000007</v>
      </c>
      <c r="G52" s="50">
        <f t="shared" si="9"/>
        <v>59717721.270000011</v>
      </c>
      <c r="H52" s="50">
        <f t="shared" si="9"/>
        <v>108450509.27000001</v>
      </c>
      <c r="I52" s="50">
        <f t="shared" si="9"/>
        <v>157126468.26999998</v>
      </c>
      <c r="J52" s="50">
        <f t="shared" si="9"/>
        <v>205802427.26999998</v>
      </c>
      <c r="K52" s="50">
        <f t="shared" si="9"/>
        <v>254666140.5</v>
      </c>
      <c r="L52" s="50">
        <f t="shared" si="9"/>
        <v>303357178.77999997</v>
      </c>
      <c r="M52" s="50">
        <f t="shared" si="9"/>
        <v>352876645.63</v>
      </c>
      <c r="N52" s="50">
        <f t="shared" si="9"/>
        <v>408945362.63</v>
      </c>
      <c r="O52" s="50">
        <f t="shared" si="9"/>
        <v>465535811.83999997</v>
      </c>
      <c r="P52" s="50">
        <f t="shared" si="9"/>
        <v>521902754.03999996</v>
      </c>
      <c r="Q52" s="51"/>
      <c r="R52" s="51"/>
      <c r="S52" s="99"/>
      <c r="T52" s="99"/>
      <c r="U52" s="149"/>
    </row>
    <row r="53" spans="1:21" s="93" customFormat="1" ht="12.75" customHeight="1" thickBot="1" x14ac:dyDescent="0.25">
      <c r="C53" s="116" t="s">
        <v>63</v>
      </c>
      <c r="D53" s="51"/>
      <c r="E53" s="117">
        <f>+E51+E52</f>
        <v>5837877.0200000005</v>
      </c>
      <c r="F53" s="117">
        <f t="shared" ref="F53:P53" si="10">+F51+F52</f>
        <v>35488628.960000008</v>
      </c>
      <c r="G53" s="117">
        <f t="shared" si="10"/>
        <v>316389624.89999998</v>
      </c>
      <c r="H53" s="117">
        <f t="shared" si="10"/>
        <v>540894257.5</v>
      </c>
      <c r="I53" s="117">
        <f t="shared" si="10"/>
        <v>840502765.49000001</v>
      </c>
      <c r="J53" s="117">
        <f t="shared" si="10"/>
        <v>944830650.18000007</v>
      </c>
      <c r="K53" s="117">
        <f t="shared" si="10"/>
        <v>1010557384.2900001</v>
      </c>
      <c r="L53" s="117">
        <f t="shared" si="10"/>
        <v>1068902269.62</v>
      </c>
      <c r="M53" s="117">
        <f t="shared" si="10"/>
        <v>1134358794.1700001</v>
      </c>
      <c r="N53" s="117">
        <f t="shared" si="10"/>
        <v>1200345276.48</v>
      </c>
      <c r="O53" s="117">
        <f t="shared" si="10"/>
        <v>1265006102.1600001</v>
      </c>
      <c r="P53" s="117">
        <f t="shared" si="10"/>
        <v>1330581969.2800002</v>
      </c>
      <c r="Q53" s="51"/>
      <c r="R53" s="51"/>
      <c r="S53" s="99"/>
      <c r="T53" s="99"/>
      <c r="U53" s="149"/>
    </row>
    <row r="54" spans="1:21" s="93" customFormat="1" ht="12.75" customHeight="1" x14ac:dyDescent="0.2">
      <c r="C54" s="118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99"/>
      <c r="T54" s="99"/>
      <c r="U54" s="149"/>
    </row>
    <row r="55" spans="1:21" ht="38.25" x14ac:dyDescent="0.2">
      <c r="A55" s="99"/>
      <c r="B55" s="144" t="str">
        <f>"(LOCAL &amp; OTHER)" &amp; "  " &amp; "Budgeted: " &amp; TEXT(B46,"$#,##0")  &amp; "  " &amp; "Actual: " &amp; TEXT(C46,"$#,##0") &amp; "  " &amp; TEXT(D46,"###.00%") &amp; CHAR(10) &amp; "(STATE)" &amp; "  " &amp; "Budgeted: " &amp; TEXT(B47,"$#,##0") &amp; "  " &amp; "Actual: " &amp; TEXT(C47,"$#,##0") &amp; "   " &amp; TEXT(D47,"###.00%") &amp; CHAR(10) &amp; "TOTAL Budgeted: " &amp; TEXT(B48,"$#,##0") &amp; "  " &amp; "Actual: " &amp; TEXT(C48,"$#,##0") &amp; "   " &amp; TEXT(D48,"###.00%")</f>
        <v>(LOCAL &amp; OTHER)  Budgeted: $802,097,362  Actual: $808,679,215  100.82%
(STATE)  Budgeted: $503,441,426  Actual: $521,902,754   103.67%
TOTAL Budgeted: $1,305,538,788  Actual: $1,330,581,969   101.92%</v>
      </c>
      <c r="C55" s="144"/>
      <c r="D55" s="144"/>
      <c r="E55" s="144"/>
      <c r="F55" s="144"/>
      <c r="G55" s="144"/>
      <c r="H55" s="144"/>
      <c r="I55" s="144"/>
      <c r="J55" s="144"/>
      <c r="K55" s="144"/>
      <c r="Q55" s="51"/>
      <c r="R55" s="145" t="s">
        <v>83</v>
      </c>
      <c r="T55" s="143"/>
      <c r="U55" s="143"/>
    </row>
    <row r="56" spans="1:21" x14ac:dyDescent="0.2">
      <c r="B56" s="154" t="str">
        <f>"(STATE)" &amp; CHAR(9) &amp; "Budgeted: " &amp; TEXT(B47,"$#,##0") &amp; CHAR(9) &amp; "Actual: " &amp; TEXT(C47,"$#,##0") &amp; "   " &amp; TEXT(D47,"###.00%")</f>
        <v>(STATE)	Budgeted: $503,441,426	Actual: $521,902,754   103.67%</v>
      </c>
      <c r="C56" s="154"/>
      <c r="D56" s="154"/>
      <c r="E56" s="154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131"/>
    </row>
    <row r="57" spans="1:21" x14ac:dyDescent="0.2">
      <c r="B57" s="154" t="str">
        <f>"TOTAL Budgeted: " &amp; TEXT(B48,"$#,##0") &amp; CHAR(9) &amp; "Actual: " &amp; TEXT(C48,"$#,##0") &amp; "   " &amp; TEXT(D48,"###.00%")</f>
        <v>TOTAL Budgeted: $1,305,538,788	Actual: $1,330,581,969   101.92%</v>
      </c>
      <c r="C57" s="154"/>
      <c r="D57" s="154"/>
      <c r="E57" s="154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0"/>
    </row>
    <row r="58" spans="1:21" x14ac:dyDescent="0.2">
      <c r="B58" s="119"/>
      <c r="C58" s="120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0"/>
    </row>
    <row r="59" spans="1:21" ht="13.5" thickBot="1" x14ac:dyDescent="0.25">
      <c r="B59" s="50"/>
      <c r="C59" s="99"/>
      <c r="E59" s="50"/>
      <c r="L59" s="51"/>
      <c r="M59" s="51"/>
      <c r="N59" s="51"/>
      <c r="O59" s="51"/>
      <c r="P59" s="51"/>
      <c r="Q59" s="51"/>
    </row>
    <row r="60" spans="1:21" s="99" customFormat="1" ht="26.25" thickBot="1" x14ac:dyDescent="0.25">
      <c r="A60" s="121" t="s">
        <v>32</v>
      </c>
      <c r="B60" s="122" t="s">
        <v>33</v>
      </c>
      <c r="P60" s="51"/>
      <c r="Q60" s="51"/>
      <c r="R60" s="51"/>
    </row>
    <row r="61" spans="1:21" s="99" customFormat="1" x14ac:dyDescent="0.2">
      <c r="A61" s="123" t="s">
        <v>8</v>
      </c>
      <c r="B61" s="124">
        <v>800559106.48000002</v>
      </c>
      <c r="C61" s="50"/>
      <c r="N61" s="125"/>
      <c r="O61" s="51"/>
      <c r="P61" s="51"/>
      <c r="Q61" s="51"/>
      <c r="R61" s="51"/>
    </row>
    <row r="62" spans="1:21" x14ac:dyDescent="0.2">
      <c r="A62" s="123" t="s">
        <v>9</v>
      </c>
      <c r="B62" s="124">
        <v>90000</v>
      </c>
      <c r="C62" s="50"/>
      <c r="E62" s="50"/>
      <c r="G62" s="99"/>
      <c r="I62" s="99"/>
      <c r="J62" s="99"/>
      <c r="K62" s="99"/>
      <c r="L62" s="99"/>
      <c r="M62" s="51"/>
      <c r="N62" s="125"/>
      <c r="O62" s="126"/>
      <c r="P62" s="51"/>
      <c r="Q62" s="51"/>
    </row>
    <row r="63" spans="1:21" x14ac:dyDescent="0.2">
      <c r="A63" s="123" t="s">
        <v>10</v>
      </c>
      <c r="B63" s="124">
        <v>503441425.62</v>
      </c>
      <c r="C63" s="50"/>
      <c r="E63" s="50"/>
      <c r="G63" s="99"/>
      <c r="I63" s="99"/>
      <c r="J63" s="99"/>
      <c r="K63" s="99"/>
      <c r="L63" s="99"/>
      <c r="M63" s="51"/>
      <c r="N63" s="125"/>
      <c r="O63" s="126"/>
      <c r="P63" s="51"/>
      <c r="Q63" s="51"/>
    </row>
    <row r="64" spans="1:21" ht="13.5" thickBot="1" x14ac:dyDescent="0.25">
      <c r="A64" s="123" t="s">
        <v>11</v>
      </c>
      <c r="B64" s="124">
        <v>1448256</v>
      </c>
      <c r="C64" s="50"/>
      <c r="E64" s="50"/>
      <c r="G64" s="99"/>
      <c r="I64" s="99"/>
      <c r="J64" s="99"/>
      <c r="K64" s="99"/>
      <c r="L64" s="99"/>
      <c r="M64" s="51"/>
      <c r="N64" s="125"/>
      <c r="O64" s="126"/>
      <c r="P64" s="51"/>
      <c r="Q64" s="51"/>
    </row>
    <row r="65" spans="1:20" ht="13.5" thickBot="1" x14ac:dyDescent="0.25">
      <c r="A65" s="127" t="s">
        <v>64</v>
      </c>
      <c r="B65" s="128">
        <f>SUM(B61:B64)</f>
        <v>1305538788.0999999</v>
      </c>
      <c r="C65" s="99"/>
      <c r="D65" s="99"/>
      <c r="E65" s="50"/>
      <c r="G65" s="99"/>
      <c r="H65" s="50" t="str">
        <f xml:space="preserve"> CHAR(9)</f>
        <v xml:space="preserve">	</v>
      </c>
      <c r="I65" s="99"/>
      <c r="J65" s="99"/>
      <c r="K65" s="99"/>
      <c r="L65" s="99"/>
      <c r="M65" s="99"/>
      <c r="N65" s="51"/>
      <c r="O65" s="125"/>
      <c r="P65" s="126"/>
      <c r="Q65" s="51"/>
    </row>
    <row r="66" spans="1:20" x14ac:dyDescent="0.2">
      <c r="C66" s="99"/>
      <c r="D66" s="99"/>
      <c r="E66" s="50"/>
      <c r="G66" s="99"/>
      <c r="I66" s="99"/>
      <c r="J66" s="99"/>
      <c r="K66" s="99"/>
      <c r="L66" s="99"/>
      <c r="M66" s="51"/>
      <c r="N66" s="125"/>
      <c r="O66" s="126"/>
      <c r="P66" s="51"/>
      <c r="Q66" s="51"/>
    </row>
    <row r="67" spans="1:20" ht="13.5" thickBot="1" x14ac:dyDescent="0.25">
      <c r="C67" s="50"/>
      <c r="D67" s="99"/>
      <c r="E67" s="50"/>
      <c r="I67" s="99"/>
      <c r="J67" s="99"/>
      <c r="K67" s="99"/>
      <c r="L67" s="99"/>
      <c r="M67" s="99"/>
      <c r="N67" s="51"/>
      <c r="O67" s="125"/>
      <c r="P67" s="126"/>
      <c r="Q67" s="51"/>
    </row>
    <row r="68" spans="1:20" ht="26.25" thickBot="1" x14ac:dyDescent="0.25">
      <c r="B68" s="116" t="s">
        <v>66</v>
      </c>
      <c r="C68" s="129" t="s">
        <v>65</v>
      </c>
      <c r="D68" s="99"/>
      <c r="E68" s="50"/>
      <c r="G68" s="99"/>
      <c r="H68" s="99"/>
      <c r="I68" s="99"/>
      <c r="J68" s="99"/>
      <c r="K68" s="99"/>
      <c r="L68" s="99"/>
      <c r="M68" s="51"/>
      <c r="N68" s="125"/>
      <c r="O68" s="126"/>
      <c r="P68" s="51"/>
      <c r="Q68" s="51"/>
    </row>
    <row r="69" spans="1:20" x14ac:dyDescent="0.2">
      <c r="A69" s="99" t="s">
        <v>8</v>
      </c>
      <c r="B69" s="50">
        <v>800559106.48000002</v>
      </c>
      <c r="C69" s="50">
        <v>794384863.08000004</v>
      </c>
      <c r="D69" s="99"/>
      <c r="E69" s="50"/>
      <c r="G69" s="99"/>
      <c r="H69" s="99"/>
      <c r="I69" s="99"/>
      <c r="J69" s="99"/>
      <c r="K69" s="99"/>
      <c r="L69" s="99"/>
      <c r="M69" s="51"/>
      <c r="N69" s="125"/>
      <c r="O69" s="126"/>
      <c r="P69" s="51"/>
      <c r="Q69" s="51"/>
    </row>
    <row r="70" spans="1:20" x14ac:dyDescent="0.2">
      <c r="A70" s="99" t="s">
        <v>9</v>
      </c>
      <c r="B70" s="50">
        <v>90000</v>
      </c>
      <c r="C70" s="50">
        <v>14244859.5</v>
      </c>
      <c r="D70" s="99"/>
      <c r="E70" s="50"/>
      <c r="G70" s="99"/>
      <c r="H70" s="99"/>
      <c r="I70" s="99"/>
      <c r="J70" s="99"/>
      <c r="K70" s="99"/>
      <c r="L70" s="99"/>
      <c r="M70" s="51"/>
      <c r="N70" s="125"/>
      <c r="O70" s="126"/>
      <c r="P70" s="51"/>
      <c r="Q70" s="51"/>
    </row>
    <row r="71" spans="1:20" x14ac:dyDescent="0.2">
      <c r="A71" s="99" t="s">
        <v>10</v>
      </c>
      <c r="B71" s="50">
        <v>503441425.62</v>
      </c>
      <c r="C71" s="50">
        <v>521902754.03999996</v>
      </c>
      <c r="D71" s="99"/>
      <c r="E71" s="50"/>
      <c r="G71" s="99"/>
      <c r="H71" s="99"/>
      <c r="I71" s="99"/>
      <c r="J71" s="99"/>
      <c r="K71" s="99"/>
      <c r="L71" s="99"/>
      <c r="M71" s="51"/>
      <c r="N71" s="125"/>
      <c r="O71" s="126"/>
      <c r="P71" s="51"/>
      <c r="Q71" s="51"/>
    </row>
    <row r="72" spans="1:20" x14ac:dyDescent="0.2">
      <c r="A72" s="99" t="s">
        <v>11</v>
      </c>
      <c r="B72" s="50">
        <v>1448256</v>
      </c>
      <c r="C72" s="50">
        <v>49492.66</v>
      </c>
      <c r="D72" s="99"/>
      <c r="E72" s="50"/>
      <c r="H72" s="99"/>
      <c r="I72" s="99"/>
      <c r="J72" s="99"/>
      <c r="K72" s="99"/>
      <c r="L72" s="99"/>
      <c r="M72" s="51"/>
      <c r="N72" s="125"/>
      <c r="O72" s="126"/>
      <c r="P72" s="51"/>
      <c r="Q72" s="51"/>
    </row>
    <row r="73" spans="1:20" x14ac:dyDescent="0.2">
      <c r="B73" s="50"/>
      <c r="E73" s="50"/>
      <c r="H73" s="99"/>
      <c r="I73" s="99"/>
      <c r="J73" s="99"/>
      <c r="K73" s="99"/>
      <c r="L73" s="99"/>
      <c r="M73" s="51"/>
      <c r="N73" s="125"/>
      <c r="O73" s="126"/>
      <c r="P73" s="51"/>
      <c r="Q73" s="51"/>
    </row>
    <row r="74" spans="1:20" x14ac:dyDescent="0.2">
      <c r="B74" s="50"/>
      <c r="E74" s="50"/>
      <c r="P74" s="51"/>
      <c r="Q74" s="51"/>
    </row>
    <row r="75" spans="1:20" x14ac:dyDescent="0.2">
      <c r="B75" s="50"/>
      <c r="E75" s="50"/>
      <c r="P75" s="51"/>
      <c r="Q75" s="51"/>
    </row>
    <row r="76" spans="1:20" ht="12.75" customHeight="1" x14ac:dyDescent="0.2">
      <c r="C76" s="131"/>
      <c r="D76" s="13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S76" s="51"/>
      <c r="T76" s="51"/>
    </row>
    <row r="77" spans="1:20" x14ac:dyDescent="0.2">
      <c r="E77" s="50"/>
      <c r="P77" s="51"/>
      <c r="Q77" s="51"/>
    </row>
    <row r="78" spans="1:20" x14ac:dyDescent="0.2">
      <c r="E78" s="50"/>
      <c r="P78" s="51"/>
      <c r="Q78" s="51"/>
    </row>
    <row r="79" spans="1:20" x14ac:dyDescent="0.2">
      <c r="B79" s="50"/>
      <c r="E79" s="50"/>
      <c r="P79" s="51"/>
      <c r="Q79" s="51"/>
    </row>
    <row r="80" spans="1:20" x14ac:dyDescent="0.2">
      <c r="B80" s="50"/>
      <c r="E80" s="50"/>
      <c r="P80" s="51"/>
      <c r="Q80" s="51"/>
    </row>
    <row r="81" spans="5:17" x14ac:dyDescent="0.2">
      <c r="E81" s="50"/>
      <c r="P81" s="51"/>
      <c r="Q81" s="51"/>
    </row>
    <row r="82" spans="5:17" x14ac:dyDescent="0.2">
      <c r="E82" s="50"/>
      <c r="P82" s="51"/>
      <c r="Q82" s="51"/>
    </row>
    <row r="83" spans="5:17" x14ac:dyDescent="0.2">
      <c r="E83" s="50"/>
      <c r="P83" s="51"/>
      <c r="Q83" s="51"/>
    </row>
    <row r="84" spans="5:17" x14ac:dyDescent="0.2">
      <c r="E84" s="50"/>
      <c r="P84" s="51"/>
      <c r="Q84" s="51"/>
    </row>
    <row r="85" spans="5:17" x14ac:dyDescent="0.2">
      <c r="E85" s="50"/>
      <c r="Q85" s="51"/>
    </row>
    <row r="86" spans="5:17" x14ac:dyDescent="0.2">
      <c r="E86" s="50"/>
      <c r="Q86" s="51"/>
    </row>
    <row r="87" spans="5:17" x14ac:dyDescent="0.2">
      <c r="E87" s="50"/>
      <c r="Q87" s="51"/>
    </row>
    <row r="88" spans="5:17" x14ac:dyDescent="0.2">
      <c r="E88" s="50"/>
      <c r="Q88" s="51"/>
    </row>
    <row r="89" spans="5:17" x14ac:dyDescent="0.2">
      <c r="E89" s="50"/>
      <c r="Q89" s="51"/>
    </row>
    <row r="90" spans="5:17" x14ac:dyDescent="0.2">
      <c r="E90" s="50"/>
      <c r="Q90" s="51"/>
    </row>
    <row r="91" spans="5:17" x14ac:dyDescent="0.2">
      <c r="E91" s="50"/>
      <c r="Q91" s="51"/>
    </row>
    <row r="92" spans="5:17" x14ac:dyDescent="0.2">
      <c r="E92" s="50"/>
      <c r="Q92" s="51"/>
    </row>
    <row r="93" spans="5:17" x14ac:dyDescent="0.2">
      <c r="E93" s="50"/>
      <c r="Q93" s="51"/>
    </row>
    <row r="94" spans="5:17" x14ac:dyDescent="0.2">
      <c r="E94" s="50"/>
      <c r="Q94" s="51"/>
    </row>
    <row r="95" spans="5:17" x14ac:dyDescent="0.2">
      <c r="E95" s="50"/>
      <c r="Q95" s="51"/>
    </row>
    <row r="96" spans="5:17" x14ac:dyDescent="0.2">
      <c r="E96" s="50"/>
      <c r="Q96" s="51"/>
    </row>
  </sheetData>
  <mergeCells count="8">
    <mergeCell ref="B56:E56"/>
    <mergeCell ref="B57:E57"/>
    <mergeCell ref="C50:D50"/>
    <mergeCell ref="A1:G1"/>
    <mergeCell ref="A3:G3"/>
    <mergeCell ref="B27:F27"/>
    <mergeCell ref="B29:F29"/>
    <mergeCell ref="A37:F37"/>
  </mergeCell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18"/>
  <sheetViews>
    <sheetView workbookViewId="0">
      <selection sqref="A1:I1"/>
    </sheetView>
  </sheetViews>
  <sheetFormatPr defaultRowHeight="15" x14ac:dyDescent="0.25"/>
  <cols>
    <col min="1" max="1" width="51.7109375" style="1" customWidth="1"/>
    <col min="2" max="3" width="15.42578125" style="30" bestFit="1" customWidth="1"/>
    <col min="4" max="4" width="13.7109375" style="30" bestFit="1" customWidth="1"/>
    <col min="5" max="5" width="14.7109375" style="30" bestFit="1" customWidth="1"/>
    <col min="6" max="6" width="16.85546875" style="30" customWidth="1"/>
    <col min="7" max="7" width="14.7109375" style="30" bestFit="1" customWidth="1"/>
    <col min="8" max="8" width="14.5703125" style="30" bestFit="1" customWidth="1"/>
    <col min="9" max="9" width="13.5703125" style="1" customWidth="1"/>
    <col min="10" max="10" width="2.42578125" style="1" customWidth="1"/>
    <col min="11" max="11" width="52.28515625" style="1" bestFit="1" customWidth="1"/>
    <col min="12" max="13" width="14.5703125" style="137" bestFit="1" customWidth="1"/>
    <col min="14" max="15" width="14.140625" style="137" customWidth="1"/>
    <col min="16" max="16" width="13.7109375" style="137" customWidth="1"/>
    <col min="17" max="16384" width="9.140625" style="1"/>
  </cols>
  <sheetData>
    <row r="1" spans="1:19" x14ac:dyDescent="0.25">
      <c r="A1" s="151" t="s">
        <v>0</v>
      </c>
      <c r="B1" s="151"/>
      <c r="C1" s="151"/>
      <c r="D1" s="151"/>
      <c r="E1" s="151"/>
      <c r="F1" s="151"/>
      <c r="G1" s="151"/>
      <c r="H1" s="151"/>
      <c r="I1" s="151"/>
    </row>
    <row r="2" spans="1:19" ht="18.75" x14ac:dyDescent="0.3">
      <c r="A2" s="152" t="s">
        <v>68</v>
      </c>
      <c r="B2" s="152"/>
      <c r="C2" s="152"/>
      <c r="D2" s="152"/>
      <c r="E2" s="152"/>
      <c r="F2" s="152"/>
      <c r="G2" s="152"/>
      <c r="H2" s="152"/>
      <c r="I2" s="152"/>
    </row>
    <row r="3" spans="1:19" x14ac:dyDescent="0.25">
      <c r="A3" s="151" t="s">
        <v>1</v>
      </c>
      <c r="B3" s="151"/>
      <c r="C3" s="151"/>
      <c r="D3" s="151"/>
      <c r="E3" s="151"/>
      <c r="F3" s="151"/>
      <c r="G3" s="151"/>
      <c r="H3" s="151"/>
      <c r="I3" s="151"/>
    </row>
    <row r="4" spans="1:19" x14ac:dyDescent="0.25">
      <c r="A4" s="153">
        <v>45107</v>
      </c>
      <c r="B4" s="153"/>
      <c r="C4" s="153"/>
      <c r="D4" s="153"/>
      <c r="E4" s="153"/>
      <c r="F4" s="153"/>
      <c r="G4" s="153"/>
      <c r="H4" s="153"/>
      <c r="I4" s="153"/>
    </row>
    <row r="5" spans="1:19" x14ac:dyDescent="0.25">
      <c r="A5" s="151" t="s">
        <v>2</v>
      </c>
      <c r="B5" s="151"/>
      <c r="C5" s="151"/>
      <c r="D5" s="151"/>
      <c r="E5" s="151"/>
      <c r="F5" s="151"/>
      <c r="G5" s="151"/>
      <c r="H5" s="151"/>
      <c r="I5" s="151"/>
    </row>
    <row r="6" spans="1:19" ht="15.75" thickBot="1" x14ac:dyDescent="0.3">
      <c r="A6" s="151"/>
      <c r="B6" s="151"/>
      <c r="C6" s="151"/>
      <c r="D6" s="151"/>
      <c r="E6" s="151"/>
      <c r="F6" s="151"/>
      <c r="G6" s="151"/>
      <c r="H6" s="151"/>
      <c r="I6" s="151"/>
    </row>
    <row r="7" spans="1:19" s="5" customFormat="1" ht="45.75" thickBot="1" x14ac:dyDescent="0.25">
      <c r="A7" s="2" t="s">
        <v>32</v>
      </c>
      <c r="B7" s="32" t="s">
        <v>34</v>
      </c>
      <c r="C7" s="32" t="s">
        <v>33</v>
      </c>
      <c r="D7" s="32" t="s">
        <v>3</v>
      </c>
      <c r="E7" s="32" t="s">
        <v>4</v>
      </c>
      <c r="F7" s="32" t="s">
        <v>5</v>
      </c>
      <c r="G7" s="32" t="s">
        <v>6</v>
      </c>
      <c r="H7" s="32" t="s">
        <v>7</v>
      </c>
      <c r="I7" s="4" t="s">
        <v>31</v>
      </c>
      <c r="L7" s="138"/>
      <c r="M7" s="138"/>
      <c r="N7" s="138"/>
      <c r="O7" s="138"/>
      <c r="P7" s="138"/>
    </row>
    <row r="8" spans="1:19" s="5" customFormat="1" x14ac:dyDescent="0.2">
      <c r="A8" s="6" t="s">
        <v>8</v>
      </c>
      <c r="B8" s="7">
        <v>30993942.549999997</v>
      </c>
      <c r="C8" s="7">
        <v>31902364.549999997</v>
      </c>
      <c r="D8" s="7">
        <v>4118487.9299999997</v>
      </c>
      <c r="E8" s="7">
        <v>33563343.430000007</v>
      </c>
      <c r="F8" s="7">
        <v>0</v>
      </c>
      <c r="G8" s="7">
        <f t="shared" ref="G8:G12" si="0">SUM(E8:F8)</f>
        <v>33563343.430000007</v>
      </c>
      <c r="H8" s="7">
        <f t="shared" ref="H8:H12" si="1">C8-G8</f>
        <v>-1660978.8800000101</v>
      </c>
      <c r="I8" s="16">
        <f>IF(C8=0,"",H8/C8)</f>
        <v>-5.2064444232551729E-2</v>
      </c>
      <c r="K8"/>
      <c r="L8" s="148"/>
      <c r="M8" s="148"/>
      <c r="N8" s="148"/>
      <c r="O8" s="148"/>
      <c r="P8" s="148"/>
    </row>
    <row r="9" spans="1:19" s="5" customFormat="1" x14ac:dyDescent="0.2">
      <c r="A9" s="6" t="s">
        <v>9</v>
      </c>
      <c r="B9" s="7">
        <v>0</v>
      </c>
      <c r="C9" s="7">
        <v>0</v>
      </c>
      <c r="D9" s="7">
        <v>1234.3699999999999</v>
      </c>
      <c r="E9" s="7">
        <v>10699.34</v>
      </c>
      <c r="F9" s="7">
        <v>0</v>
      </c>
      <c r="G9" s="7">
        <f t="shared" si="0"/>
        <v>10699.34</v>
      </c>
      <c r="H9" s="7">
        <f t="shared" si="1"/>
        <v>-10699.34</v>
      </c>
      <c r="I9" s="16" t="str">
        <f t="shared" ref="I9:I12" si="2">IF(C9=0,"",H9/C9)</f>
        <v/>
      </c>
      <c r="K9"/>
      <c r="L9" s="148"/>
      <c r="M9" s="148"/>
      <c r="N9" s="148"/>
      <c r="O9" s="148"/>
      <c r="P9" s="148"/>
    </row>
    <row r="10" spans="1:19" s="5" customFormat="1" x14ac:dyDescent="0.2">
      <c r="A10" s="6" t="s">
        <v>10</v>
      </c>
      <c r="B10" s="7">
        <v>15490840.710000001</v>
      </c>
      <c r="C10" s="7">
        <v>15272406.710000001</v>
      </c>
      <c r="D10" s="7">
        <v>278226.02999999997</v>
      </c>
      <c r="E10" s="7">
        <v>15869164.800000001</v>
      </c>
      <c r="F10" s="7">
        <v>0</v>
      </c>
      <c r="G10" s="7">
        <f t="shared" si="0"/>
        <v>15869164.800000001</v>
      </c>
      <c r="H10" s="7">
        <f t="shared" si="1"/>
        <v>-596758.08999999985</v>
      </c>
      <c r="I10" s="16">
        <f t="shared" si="2"/>
        <v>-3.9074266507665566E-2</v>
      </c>
      <c r="K10"/>
      <c r="L10" s="148"/>
      <c r="M10" s="148"/>
      <c r="N10" s="148"/>
      <c r="O10" s="148"/>
      <c r="P10" s="148"/>
    </row>
    <row r="11" spans="1:19" s="5" customFormat="1" x14ac:dyDescent="0.2">
      <c r="A11" s="6" t="s">
        <v>80</v>
      </c>
      <c r="B11" s="7">
        <v>428232611.45999998</v>
      </c>
      <c r="C11" s="7">
        <v>673560106.41000009</v>
      </c>
      <c r="D11" s="7">
        <v>5239729.99</v>
      </c>
      <c r="E11" s="7">
        <v>150530058.16</v>
      </c>
      <c r="F11" s="7">
        <v>0</v>
      </c>
      <c r="G11" s="7">
        <f t="shared" si="0"/>
        <v>150530058.16</v>
      </c>
      <c r="H11" s="7">
        <f t="shared" si="1"/>
        <v>523030048.25000012</v>
      </c>
      <c r="I11" s="16">
        <f t="shared" si="2"/>
        <v>0.77651577531468086</v>
      </c>
      <c r="K11"/>
      <c r="L11" s="148"/>
      <c r="M11" s="148"/>
      <c r="N11" s="148"/>
      <c r="O11" s="148"/>
      <c r="P11" s="148"/>
    </row>
    <row r="12" spans="1:19" s="5" customFormat="1" x14ac:dyDescent="0.2">
      <c r="A12" s="8" t="s">
        <v>11</v>
      </c>
      <c r="B12" s="7">
        <v>4445423</v>
      </c>
      <c r="C12" s="7">
        <v>4446128</v>
      </c>
      <c r="D12" s="7">
        <v>88805.78</v>
      </c>
      <c r="E12" s="7">
        <v>1109902.6000000001</v>
      </c>
      <c r="F12" s="7">
        <v>0</v>
      </c>
      <c r="G12" s="7">
        <f t="shared" si="0"/>
        <v>1109902.6000000001</v>
      </c>
      <c r="H12" s="7">
        <f t="shared" si="1"/>
        <v>3336225.4</v>
      </c>
      <c r="I12" s="16">
        <f t="shared" si="2"/>
        <v>0.75036647617882346</v>
      </c>
      <c r="K12" s="148"/>
      <c r="L12" s="148"/>
      <c r="M12" s="148"/>
      <c r="N12" s="148"/>
      <c r="O12" s="148"/>
      <c r="P12" s="148"/>
    </row>
    <row r="13" spans="1:19" s="5" customFormat="1" ht="24.95" customHeight="1" x14ac:dyDescent="0.25">
      <c r="A13" s="10" t="s">
        <v>12</v>
      </c>
      <c r="B13" s="11">
        <f>SUM(B8:B12)</f>
        <v>479162817.71999997</v>
      </c>
      <c r="C13" s="11">
        <f t="shared" ref="C13:H13" si="3">SUM(C8:C12)</f>
        <v>725181005.67000008</v>
      </c>
      <c r="D13" s="11">
        <f t="shared" si="3"/>
        <v>9726484.0999999996</v>
      </c>
      <c r="E13" s="11">
        <f t="shared" si="3"/>
        <v>201083168.33000001</v>
      </c>
      <c r="F13" s="11">
        <f t="shared" si="3"/>
        <v>0</v>
      </c>
      <c r="G13" s="11">
        <f t="shared" si="3"/>
        <v>201083168.33000001</v>
      </c>
      <c r="H13" s="11">
        <f t="shared" si="3"/>
        <v>524097837.34000009</v>
      </c>
      <c r="I13" s="36">
        <f>IF(C13=0,"",H13/C13)</f>
        <v>0.72271313402063286</v>
      </c>
      <c r="L13" s="1"/>
      <c r="M13" s="1"/>
      <c r="N13" s="1"/>
      <c r="O13" s="1"/>
      <c r="P13" s="1"/>
      <c r="Q13" s="1"/>
      <c r="R13" s="1"/>
      <c r="S13" s="1"/>
    </row>
    <row r="14" spans="1:19" s="5" customFormat="1" x14ac:dyDescent="0.2">
      <c r="A14" s="12" t="s">
        <v>13</v>
      </c>
      <c r="B14" s="13">
        <v>122237672.85000002</v>
      </c>
      <c r="C14" s="13">
        <v>263643658.82999998</v>
      </c>
      <c r="D14" s="13">
        <v>8083643.8499999773</v>
      </c>
      <c r="E14" s="13">
        <v>56464024.540000089</v>
      </c>
      <c r="F14" s="13">
        <v>8636168.2199999988</v>
      </c>
      <c r="G14" s="13">
        <f t="shared" ref="G14:G31" si="4">SUM(E14:F14)</f>
        <v>65100192.760000087</v>
      </c>
      <c r="H14" s="13">
        <f t="shared" ref="H14:H31" si="5">C14-G14</f>
        <v>198543466.0699999</v>
      </c>
      <c r="I14" s="26">
        <f t="shared" ref="I14:I31" si="6">IF(C14=0,"",H14/C14)</f>
        <v>0.75307506712316818</v>
      </c>
      <c r="L14" s="138"/>
      <c r="M14" s="138"/>
      <c r="N14" s="138"/>
      <c r="O14" s="138"/>
      <c r="P14" s="138"/>
    </row>
    <row r="15" spans="1:19" s="5" customFormat="1" x14ac:dyDescent="0.2">
      <c r="A15" s="6" t="s">
        <v>14</v>
      </c>
      <c r="B15" s="7">
        <v>46476820.239999995</v>
      </c>
      <c r="C15" s="7">
        <v>48490488.469999969</v>
      </c>
      <c r="D15" s="7">
        <v>3323436.4400000023</v>
      </c>
      <c r="E15" s="7">
        <v>22503894.460000005</v>
      </c>
      <c r="F15" s="7">
        <v>1082185.8599999999</v>
      </c>
      <c r="G15" s="7">
        <f t="shared" si="4"/>
        <v>23586080.320000004</v>
      </c>
      <c r="H15" s="7">
        <f t="shared" si="5"/>
        <v>24904408.149999965</v>
      </c>
      <c r="I15" s="16">
        <f t="shared" si="6"/>
        <v>0.51359367446685533</v>
      </c>
      <c r="L15" s="138"/>
      <c r="M15" s="138"/>
      <c r="N15" s="138"/>
      <c r="O15" s="138"/>
      <c r="P15" s="138"/>
    </row>
    <row r="16" spans="1:19" s="5" customFormat="1" x14ac:dyDescent="0.2">
      <c r="A16" s="6" t="s">
        <v>15</v>
      </c>
      <c r="B16" s="7">
        <v>28698630.420000002</v>
      </c>
      <c r="C16" s="7">
        <v>5777991.799999998</v>
      </c>
      <c r="D16" s="7">
        <v>113360.17000000003</v>
      </c>
      <c r="E16" s="7">
        <v>3230588.4600000009</v>
      </c>
      <c r="F16" s="7">
        <v>72023.080000000016</v>
      </c>
      <c r="G16" s="7">
        <f t="shared" si="4"/>
        <v>3302611.540000001</v>
      </c>
      <c r="H16" s="7">
        <f t="shared" si="5"/>
        <v>2475380.259999997</v>
      </c>
      <c r="I16" s="16">
        <f t="shared" si="6"/>
        <v>0.42841532935370347</v>
      </c>
      <c r="L16" s="138"/>
      <c r="M16" s="138"/>
      <c r="N16" s="138"/>
      <c r="O16" s="138"/>
      <c r="P16" s="138"/>
    </row>
    <row r="17" spans="1:19" s="5" customFormat="1" x14ac:dyDescent="0.2">
      <c r="A17" s="6" t="s">
        <v>16</v>
      </c>
      <c r="B17" s="7">
        <v>47270868.820000023</v>
      </c>
      <c r="C17" s="7">
        <v>61734200.020000055</v>
      </c>
      <c r="D17" s="7">
        <v>2594841.9600000056</v>
      </c>
      <c r="E17" s="7">
        <v>21319724.599999979</v>
      </c>
      <c r="F17" s="7">
        <v>378399.21</v>
      </c>
      <c r="G17" s="7">
        <f t="shared" si="4"/>
        <v>21698123.80999998</v>
      </c>
      <c r="H17" s="7">
        <f t="shared" si="5"/>
        <v>40036076.210000075</v>
      </c>
      <c r="I17" s="16">
        <f t="shared" si="6"/>
        <v>0.64852344724689992</v>
      </c>
      <c r="L17" s="138"/>
      <c r="M17" s="138"/>
      <c r="N17" s="138"/>
      <c r="O17" s="138"/>
      <c r="P17" s="138"/>
    </row>
    <row r="18" spans="1:19" s="5" customFormat="1" x14ac:dyDescent="0.2">
      <c r="A18" s="6" t="s">
        <v>17</v>
      </c>
      <c r="B18" s="7">
        <v>2893575</v>
      </c>
      <c r="C18" s="7">
        <v>3175673.74</v>
      </c>
      <c r="D18" s="7">
        <v>6531.52</v>
      </c>
      <c r="E18" s="7">
        <v>47753.999999999993</v>
      </c>
      <c r="F18" s="7">
        <v>48648.119999999995</v>
      </c>
      <c r="G18" s="7">
        <f t="shared" si="4"/>
        <v>96402.12</v>
      </c>
      <c r="H18" s="7">
        <f t="shared" si="5"/>
        <v>3079271.62</v>
      </c>
      <c r="I18" s="16">
        <f t="shared" si="6"/>
        <v>0.96964356924146744</v>
      </c>
      <c r="L18" s="138"/>
      <c r="M18" s="138"/>
      <c r="N18" s="138"/>
      <c r="O18" s="138"/>
      <c r="P18" s="138"/>
    </row>
    <row r="19" spans="1:19" s="5" customFormat="1" x14ac:dyDescent="0.2">
      <c r="A19" s="6" t="s">
        <v>77</v>
      </c>
      <c r="B19" s="7">
        <v>-1313778.94</v>
      </c>
      <c r="C19" s="7">
        <v>8227207.4900000021</v>
      </c>
      <c r="D19" s="7">
        <v>406388.81000000017</v>
      </c>
      <c r="E19" s="7">
        <v>4253556.8899999997</v>
      </c>
      <c r="F19" s="7">
        <v>167470.94</v>
      </c>
      <c r="G19" s="7">
        <f>SUM(E19:F19)</f>
        <v>4421027.83</v>
      </c>
      <c r="H19" s="7">
        <f>C19-G19</f>
        <v>3806179.660000002</v>
      </c>
      <c r="I19" s="16">
        <f>IF(C19=0,"",H19/C19)</f>
        <v>0.46263324033413933</v>
      </c>
      <c r="L19" s="138"/>
      <c r="M19" s="138"/>
      <c r="N19" s="138"/>
      <c r="O19" s="138"/>
      <c r="P19" s="138"/>
    </row>
    <row r="20" spans="1:19" s="5" customFormat="1" x14ac:dyDescent="0.2">
      <c r="A20" s="6" t="s">
        <v>18</v>
      </c>
      <c r="B20" s="7">
        <v>52410582.200000003</v>
      </c>
      <c r="C20" s="7">
        <v>50323155.970000014</v>
      </c>
      <c r="D20" s="7">
        <v>350011.16000000003</v>
      </c>
      <c r="E20" s="7">
        <v>1732504.2000000002</v>
      </c>
      <c r="F20" s="7">
        <v>2020.0400000000002</v>
      </c>
      <c r="G20" s="7">
        <f t="shared" si="4"/>
        <v>1734524.2400000002</v>
      </c>
      <c r="H20" s="7">
        <f t="shared" si="5"/>
        <v>48588631.730000012</v>
      </c>
      <c r="I20" s="16">
        <f t="shared" si="6"/>
        <v>0.96553228416290038</v>
      </c>
      <c r="L20" s="138"/>
      <c r="M20" s="138"/>
      <c r="N20" s="138"/>
      <c r="O20" s="138"/>
      <c r="P20" s="138"/>
    </row>
    <row r="21" spans="1:19" s="5" customFormat="1" x14ac:dyDescent="0.2">
      <c r="A21" s="6" t="s">
        <v>19</v>
      </c>
      <c r="B21" s="7">
        <v>28031712.98</v>
      </c>
      <c r="C21" s="7">
        <v>6361832.0599999959</v>
      </c>
      <c r="D21" s="7">
        <v>36538.610000000008</v>
      </c>
      <c r="E21" s="7">
        <v>491502.09999999992</v>
      </c>
      <c r="F21" s="7">
        <v>6156.39</v>
      </c>
      <c r="G21" s="7">
        <f t="shared" si="4"/>
        <v>497658.48999999993</v>
      </c>
      <c r="H21" s="7">
        <f t="shared" si="5"/>
        <v>5864173.5699999956</v>
      </c>
      <c r="I21" s="16">
        <f t="shared" si="6"/>
        <v>0.92177434341138509</v>
      </c>
      <c r="L21" s="138"/>
      <c r="M21" s="138"/>
      <c r="N21" s="138"/>
      <c r="O21" s="138"/>
      <c r="P21" s="138"/>
    </row>
    <row r="22" spans="1:19" s="5" customFormat="1" x14ac:dyDescent="0.2">
      <c r="A22" s="6" t="s">
        <v>20</v>
      </c>
      <c r="B22" s="7">
        <v>26255441.91</v>
      </c>
      <c r="C22" s="7">
        <v>384776.21</v>
      </c>
      <c r="D22" s="7">
        <v>6991.77</v>
      </c>
      <c r="E22" s="7">
        <v>117252.35</v>
      </c>
      <c r="F22" s="7">
        <v>1024.4000000000001</v>
      </c>
      <c r="G22" s="7">
        <f t="shared" si="4"/>
        <v>118276.75</v>
      </c>
      <c r="H22" s="7">
        <f t="shared" si="5"/>
        <v>266499.46000000002</v>
      </c>
      <c r="I22" s="16">
        <f t="shared" si="6"/>
        <v>0.69260898432364104</v>
      </c>
      <c r="L22" s="138"/>
      <c r="M22" s="138"/>
      <c r="N22" s="138"/>
      <c r="O22" s="138"/>
      <c r="P22" s="138"/>
    </row>
    <row r="23" spans="1:19" s="5" customFormat="1" x14ac:dyDescent="0.2">
      <c r="A23" s="6" t="s">
        <v>76</v>
      </c>
      <c r="B23" s="7">
        <v>75198741.920000002</v>
      </c>
      <c r="C23" s="7">
        <v>55518863.810000002</v>
      </c>
      <c r="D23" s="7">
        <v>80449.859999999986</v>
      </c>
      <c r="E23" s="7">
        <v>3873876.8000000003</v>
      </c>
      <c r="F23" s="7">
        <v>170843.61</v>
      </c>
      <c r="G23" s="7">
        <f t="shared" si="4"/>
        <v>4044720.41</v>
      </c>
      <c r="H23" s="7">
        <f t="shared" si="5"/>
        <v>51474143.400000006</v>
      </c>
      <c r="I23" s="16">
        <f t="shared" si="6"/>
        <v>0.92714691669768168</v>
      </c>
      <c r="L23" s="138"/>
      <c r="M23" s="138"/>
      <c r="N23" s="138"/>
      <c r="O23" s="138"/>
      <c r="P23" s="138"/>
    </row>
    <row r="24" spans="1:19" s="5" customFormat="1" x14ac:dyDescent="0.2">
      <c r="A24" s="6" t="s">
        <v>21</v>
      </c>
      <c r="B24" s="7">
        <v>27650785.010000002</v>
      </c>
      <c r="C24" s="7">
        <v>26224733.759999998</v>
      </c>
      <c r="D24" s="7">
        <v>20822.349999999999</v>
      </c>
      <c r="E24" s="7">
        <v>372403.01</v>
      </c>
      <c r="F24" s="7">
        <v>4814109.6000000006</v>
      </c>
      <c r="G24" s="7">
        <f t="shared" si="4"/>
        <v>5186512.6100000003</v>
      </c>
      <c r="H24" s="7">
        <f t="shared" si="5"/>
        <v>21038221.149999999</v>
      </c>
      <c r="I24" s="16">
        <f t="shared" si="6"/>
        <v>0.80222820725406674</v>
      </c>
      <c r="L24" s="138"/>
      <c r="M24" s="138"/>
      <c r="N24" s="138"/>
      <c r="O24" s="138"/>
      <c r="P24" s="138"/>
    </row>
    <row r="25" spans="1:19" s="5" customFormat="1" x14ac:dyDescent="0.2">
      <c r="A25" s="6" t="s">
        <v>22</v>
      </c>
      <c r="B25" s="7">
        <v>80846623.390000001</v>
      </c>
      <c r="C25" s="7">
        <v>5299166.2300000014</v>
      </c>
      <c r="D25" s="7">
        <v>104292.40999999999</v>
      </c>
      <c r="E25" s="7">
        <v>4118122.0000000014</v>
      </c>
      <c r="F25" s="7">
        <v>217438.63999999998</v>
      </c>
      <c r="G25" s="7">
        <f t="shared" si="4"/>
        <v>4335560.6400000015</v>
      </c>
      <c r="H25" s="7">
        <f t="shared" si="5"/>
        <v>963605.58999999985</v>
      </c>
      <c r="I25" s="16">
        <f t="shared" si="6"/>
        <v>0.18184098180290517</v>
      </c>
      <c r="L25" s="138"/>
      <c r="M25" s="138"/>
      <c r="N25" s="138"/>
      <c r="O25" s="138"/>
      <c r="P25" s="138"/>
    </row>
    <row r="26" spans="1:19" s="5" customFormat="1" x14ac:dyDescent="0.2">
      <c r="A26" s="6" t="s">
        <v>23</v>
      </c>
      <c r="B26" s="7">
        <v>667088.79999999993</v>
      </c>
      <c r="C26" s="7">
        <v>2319534.3500000006</v>
      </c>
      <c r="D26" s="7">
        <v>14212.440000000002</v>
      </c>
      <c r="E26" s="7">
        <v>231997.96</v>
      </c>
      <c r="F26" s="7">
        <v>2955</v>
      </c>
      <c r="G26" s="7">
        <f t="shared" si="4"/>
        <v>234952.95999999999</v>
      </c>
      <c r="H26" s="7">
        <f t="shared" si="5"/>
        <v>2084581.3900000006</v>
      </c>
      <c r="I26" s="16">
        <f t="shared" si="6"/>
        <v>0.89870684174174875</v>
      </c>
      <c r="L26" s="138"/>
      <c r="M26" s="138"/>
      <c r="N26" s="138"/>
      <c r="O26" s="138"/>
      <c r="P26" s="138"/>
    </row>
    <row r="27" spans="1:19" s="5" customFormat="1" x14ac:dyDescent="0.2">
      <c r="A27" s="6" t="s">
        <v>29</v>
      </c>
      <c r="B27" s="7">
        <v>53747141</v>
      </c>
      <c r="C27" s="7">
        <v>21670915.100000001</v>
      </c>
      <c r="D27" s="7">
        <v>3550.75</v>
      </c>
      <c r="E27" s="7">
        <v>2105881.41</v>
      </c>
      <c r="F27" s="7">
        <v>4263.2299999999996</v>
      </c>
      <c r="G27" s="7">
        <f t="shared" si="4"/>
        <v>2110144.64</v>
      </c>
      <c r="H27" s="7">
        <f t="shared" si="5"/>
        <v>19560770.460000001</v>
      </c>
      <c r="I27" s="16">
        <f t="shared" si="6"/>
        <v>0.90262780181350066</v>
      </c>
      <c r="L27" s="138"/>
      <c r="M27" s="138"/>
      <c r="N27" s="138"/>
      <c r="O27" s="138"/>
      <c r="P27" s="138"/>
    </row>
    <row r="28" spans="1:19" s="5" customFormat="1" x14ac:dyDescent="0.2">
      <c r="A28" s="6" t="s">
        <v>30</v>
      </c>
      <c r="B28" s="7">
        <v>2025395.28</v>
      </c>
      <c r="C28" s="7">
        <v>2640995.2800000003</v>
      </c>
      <c r="D28" s="7">
        <v>140848.89000000001</v>
      </c>
      <c r="E28" s="7">
        <v>2878584.3699999996</v>
      </c>
      <c r="F28" s="7">
        <v>207330.12</v>
      </c>
      <c r="G28" s="7">
        <f t="shared" si="4"/>
        <v>3085914.4899999998</v>
      </c>
      <c r="H28" s="7">
        <f t="shared" si="5"/>
        <v>-444919.2099999995</v>
      </c>
      <c r="I28" s="16">
        <f t="shared" si="6"/>
        <v>-0.16846649192042459</v>
      </c>
      <c r="L28" s="138"/>
      <c r="M28" s="138"/>
      <c r="N28" s="138"/>
      <c r="O28" s="138"/>
      <c r="P28" s="138"/>
    </row>
    <row r="29" spans="1:19" s="5" customFormat="1" x14ac:dyDescent="0.2">
      <c r="A29" s="29" t="s">
        <v>78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f t="shared" ref="G29" si="7">SUM(E29:F29)</f>
        <v>0</v>
      </c>
      <c r="H29" s="7">
        <f t="shared" ref="H29" si="8">C29-G29</f>
        <v>0</v>
      </c>
      <c r="I29" s="16" t="str">
        <f t="shared" ref="I29" si="9">IF(C29=0,"",H29/C29)</f>
        <v/>
      </c>
    </row>
    <row r="30" spans="1:19" s="5" customFormat="1" x14ac:dyDescent="0.2">
      <c r="A30" s="29" t="s">
        <v>79</v>
      </c>
      <c r="B30" s="7">
        <v>158786775.40000001</v>
      </c>
      <c r="C30" s="7">
        <v>144496358.24000004</v>
      </c>
      <c r="D30" s="7">
        <v>3764733.5099999979</v>
      </c>
      <c r="E30" s="7">
        <v>13288281.740000008</v>
      </c>
      <c r="F30" s="7">
        <v>16295595.759999994</v>
      </c>
      <c r="G30" s="7">
        <f t="shared" ref="G30" si="10">SUM(E30:F30)</f>
        <v>29583877.5</v>
      </c>
      <c r="H30" s="7">
        <f t="shared" ref="H30" si="11">C30-G30</f>
        <v>114912480.74000004</v>
      </c>
      <c r="I30" s="16">
        <f t="shared" ref="I30" si="12">IF(C30=0,"",H30/C30)</f>
        <v>0.7952621238324713</v>
      </c>
      <c r="L30" s="138"/>
      <c r="M30" s="138"/>
      <c r="N30" s="138"/>
      <c r="O30" s="138"/>
      <c r="P30" s="138"/>
    </row>
    <row r="31" spans="1:19" s="5" customFormat="1" x14ac:dyDescent="0.2">
      <c r="A31" s="6" t="s">
        <v>25</v>
      </c>
      <c r="B31" s="7">
        <v>23086645.009999998</v>
      </c>
      <c r="C31" s="7">
        <v>23096263.009999998</v>
      </c>
      <c r="D31" s="7">
        <v>1765235.1300000001</v>
      </c>
      <c r="E31" s="7">
        <v>21503614.810000014</v>
      </c>
      <c r="F31" s="7">
        <v>0</v>
      </c>
      <c r="G31" s="7">
        <f t="shared" si="4"/>
        <v>21503614.810000014</v>
      </c>
      <c r="H31" s="7">
        <f t="shared" si="5"/>
        <v>1592648.1999999844</v>
      </c>
      <c r="I31" s="16">
        <f t="shared" si="6"/>
        <v>6.8956964999507278E-2</v>
      </c>
      <c r="L31" s="138"/>
      <c r="M31" s="138"/>
      <c r="N31" s="138"/>
      <c r="O31" s="138"/>
      <c r="P31" s="138"/>
    </row>
    <row r="32" spans="1:19" s="5" customFormat="1" ht="24.95" customHeight="1" x14ac:dyDescent="0.25">
      <c r="A32" s="10" t="s">
        <v>26</v>
      </c>
      <c r="B32" s="11">
        <f t="shared" ref="B32:H32" si="13">SUM(B14:B31)</f>
        <v>774970721.29000008</v>
      </c>
      <c r="C32" s="11">
        <f t="shared" si="13"/>
        <v>729385814.37</v>
      </c>
      <c r="D32" s="11">
        <f t="shared" si="13"/>
        <v>20815889.629999984</v>
      </c>
      <c r="E32" s="11">
        <f t="shared" si="13"/>
        <v>158533563.70000008</v>
      </c>
      <c r="F32" s="11">
        <f t="shared" si="13"/>
        <v>32106632.219999991</v>
      </c>
      <c r="G32" s="11">
        <f t="shared" si="13"/>
        <v>190640195.92000005</v>
      </c>
      <c r="H32" s="11">
        <f t="shared" si="13"/>
        <v>538745618.44999993</v>
      </c>
      <c r="I32" s="36">
        <f>IF(C32=0,"",H32/C32)</f>
        <v>0.73862914226723242</v>
      </c>
      <c r="L32" s="1"/>
      <c r="M32" s="1"/>
      <c r="N32" s="1"/>
      <c r="O32" s="1"/>
      <c r="P32" s="1"/>
      <c r="Q32" s="1"/>
      <c r="R32" s="1"/>
      <c r="S32" s="1"/>
    </row>
    <row r="33" spans="1:16" s="5" customFormat="1" x14ac:dyDescent="0.2">
      <c r="A33" s="12"/>
      <c r="B33" s="13"/>
      <c r="C33" s="13"/>
      <c r="D33" s="13"/>
      <c r="E33" s="13"/>
      <c r="F33" s="13"/>
      <c r="G33" s="13"/>
      <c r="H33" s="13"/>
      <c r="I33" s="15"/>
      <c r="L33" s="138"/>
      <c r="M33" s="138"/>
      <c r="N33" s="138"/>
      <c r="O33" s="138"/>
      <c r="P33" s="138"/>
    </row>
    <row r="34" spans="1:16" s="5" customFormat="1" x14ac:dyDescent="0.2">
      <c r="A34" s="6" t="s">
        <v>27</v>
      </c>
      <c r="B34" s="7">
        <f>B13-B32</f>
        <v>-295807903.57000011</v>
      </c>
      <c r="C34" s="7">
        <f>C13-C32</f>
        <v>-4204808.6999999285</v>
      </c>
      <c r="D34" s="7">
        <f>D13-D32</f>
        <v>-11089405.529999984</v>
      </c>
      <c r="E34" s="7">
        <f>E13-E32</f>
        <v>42549604.629999936</v>
      </c>
      <c r="F34" s="7"/>
      <c r="G34" s="7">
        <f>G13-G32</f>
        <v>10442972.409999967</v>
      </c>
      <c r="H34" s="7">
        <f>H13-H32</f>
        <v>-14647781.109999835</v>
      </c>
      <c r="I34" s="16"/>
      <c r="L34" s="138"/>
      <c r="M34" s="138"/>
      <c r="N34" s="138"/>
      <c r="O34" s="138"/>
      <c r="P34" s="138"/>
    </row>
    <row r="35" spans="1:16" s="5" customFormat="1" ht="24.95" customHeight="1" x14ac:dyDescent="0.2">
      <c r="A35" s="8"/>
      <c r="B35" s="9"/>
      <c r="C35" s="9"/>
      <c r="D35" s="9"/>
      <c r="E35" s="9"/>
      <c r="F35" s="9"/>
      <c r="G35" s="9"/>
      <c r="H35" s="9"/>
      <c r="I35" s="34"/>
      <c r="L35" s="138"/>
      <c r="M35" s="138"/>
      <c r="N35" s="138"/>
      <c r="O35" s="138"/>
      <c r="P35" s="138"/>
    </row>
    <row r="36" spans="1:16" s="5" customFormat="1" x14ac:dyDescent="0.2">
      <c r="A36" s="18" t="s">
        <v>73</v>
      </c>
      <c r="B36" s="20"/>
      <c r="C36" s="20"/>
      <c r="D36" s="20"/>
      <c r="E36" s="20">
        <v>562660.17000000156</v>
      </c>
      <c r="F36" s="20"/>
      <c r="G36" s="20">
        <f>E36</f>
        <v>562660.17000000156</v>
      </c>
      <c r="H36" s="20"/>
      <c r="I36" s="21"/>
      <c r="L36" s="138"/>
      <c r="M36" s="138"/>
      <c r="N36" s="138"/>
      <c r="O36" s="138"/>
      <c r="P36" s="138"/>
    </row>
    <row r="37" spans="1:16" s="5" customFormat="1" ht="15.75" thickBot="1" x14ac:dyDescent="0.25">
      <c r="A37" s="22" t="s">
        <v>28</v>
      </c>
      <c r="B37" s="24"/>
      <c r="C37" s="24"/>
      <c r="D37" s="24"/>
      <c r="E37" s="24">
        <f>SUM(E34:E36)</f>
        <v>43112264.799999937</v>
      </c>
      <c r="F37" s="24"/>
      <c r="G37" s="24">
        <f>SUM(G34:G36)</f>
        <v>11005632.579999968</v>
      </c>
      <c r="H37" s="24"/>
      <c r="I37" s="25"/>
      <c r="L37" s="138"/>
      <c r="M37" s="138"/>
      <c r="N37" s="138"/>
      <c r="O37" s="138"/>
      <c r="P37" s="138"/>
    </row>
    <row r="38" spans="1:16" s="5" customFormat="1" x14ac:dyDescent="0.2">
      <c r="B38" s="33"/>
      <c r="C38" s="33"/>
      <c r="D38" s="33"/>
      <c r="E38" s="33"/>
      <c r="F38" s="33"/>
      <c r="G38" s="33"/>
      <c r="H38" s="33"/>
      <c r="L38" s="138"/>
      <c r="M38" s="138"/>
      <c r="N38" s="138"/>
      <c r="O38" s="138"/>
      <c r="P38" s="138"/>
    </row>
    <row r="39" spans="1:16" x14ac:dyDescent="0.25">
      <c r="I39" s="30"/>
      <c r="J39" s="137"/>
      <c r="K39" s="137"/>
      <c r="O39" s="1"/>
      <c r="P39" s="1"/>
    </row>
    <row r="40" spans="1:16" x14ac:dyDescent="0.25">
      <c r="B40" s="137"/>
      <c r="C40" s="137"/>
      <c r="D40" s="137"/>
      <c r="E40" s="137"/>
      <c r="F40" s="137"/>
      <c r="G40" s="1"/>
      <c r="H40" s="1"/>
      <c r="L40" s="1"/>
      <c r="M40" s="1"/>
      <c r="N40" s="1"/>
      <c r="O40" s="1"/>
      <c r="P40" s="1"/>
    </row>
    <row r="41" spans="1:16" x14ac:dyDescent="0.25">
      <c r="B41" s="137"/>
      <c r="C41" s="137"/>
      <c r="D41" s="137"/>
      <c r="E41" s="137"/>
      <c r="F41" s="137"/>
      <c r="G41" s="1"/>
      <c r="H41" s="1"/>
      <c r="L41" s="1"/>
      <c r="M41" s="1"/>
      <c r="N41" s="1"/>
      <c r="O41" s="1"/>
      <c r="P41" s="1"/>
    </row>
    <row r="42" spans="1:16" x14ac:dyDescent="0.25">
      <c r="B42" s="137"/>
      <c r="C42" s="137"/>
      <c r="D42" s="137"/>
      <c r="E42" s="137"/>
      <c r="F42" s="137"/>
      <c r="G42" s="1"/>
      <c r="H42" s="1"/>
      <c r="J42" s="137"/>
      <c r="K42" s="137"/>
      <c r="O42" s="1"/>
      <c r="P42" s="1"/>
    </row>
    <row r="43" spans="1:16" x14ac:dyDescent="0.25">
      <c r="B43" s="137"/>
      <c r="C43" s="137"/>
      <c r="D43" s="137"/>
      <c r="E43" s="137"/>
      <c r="F43" s="137"/>
      <c r="G43" s="137"/>
      <c r="H43" s="137"/>
      <c r="I43" s="137"/>
      <c r="L43" s="1"/>
      <c r="M43" s="1"/>
      <c r="N43" s="1"/>
      <c r="O43" s="1"/>
      <c r="P43" s="1"/>
    </row>
    <row r="44" spans="1:16" x14ac:dyDescent="0.25">
      <c r="B44" s="137"/>
      <c r="C44" s="137"/>
      <c r="D44" s="137"/>
      <c r="E44" s="137"/>
      <c r="F44" s="137"/>
      <c r="G44" s="137"/>
      <c r="H44" s="137"/>
      <c r="I44" s="137"/>
      <c r="L44" s="1"/>
      <c r="M44" s="1"/>
      <c r="N44" s="1"/>
      <c r="O44" s="1"/>
      <c r="P44" s="1"/>
    </row>
    <row r="45" spans="1:16" x14ac:dyDescent="0.25">
      <c r="B45" s="137"/>
      <c r="C45" s="137"/>
      <c r="D45" s="137"/>
      <c r="E45" s="137"/>
      <c r="F45" s="137"/>
      <c r="G45" s="137"/>
      <c r="H45" s="137"/>
      <c r="I45" s="137"/>
      <c r="L45" s="1"/>
      <c r="M45" s="1"/>
      <c r="N45" s="1"/>
      <c r="O45" s="1"/>
      <c r="P45" s="1"/>
    </row>
    <row r="46" spans="1:16" x14ac:dyDescent="0.25">
      <c r="B46" s="137"/>
      <c r="C46" s="137"/>
      <c r="D46" s="137"/>
      <c r="E46" s="137"/>
      <c r="F46" s="137"/>
      <c r="G46" s="137"/>
      <c r="H46" s="137"/>
      <c r="I46" s="137"/>
      <c r="L46" s="1"/>
      <c r="M46" s="1"/>
      <c r="N46" s="1"/>
      <c r="O46" s="1"/>
      <c r="P46" s="1"/>
    </row>
    <row r="47" spans="1:16" x14ac:dyDescent="0.25">
      <c r="B47" s="137"/>
      <c r="C47" s="137"/>
      <c r="D47" s="137"/>
      <c r="E47" s="137"/>
      <c r="F47" s="137"/>
      <c r="G47" s="137"/>
      <c r="H47" s="137"/>
      <c r="I47" s="137"/>
      <c r="L47" s="1"/>
      <c r="M47" s="1"/>
      <c r="N47" s="1"/>
      <c r="O47" s="1"/>
      <c r="P47" s="1"/>
    </row>
    <row r="48" spans="1:16" x14ac:dyDescent="0.25">
      <c r="B48" s="137"/>
      <c r="C48" s="137"/>
      <c r="D48" s="137"/>
      <c r="E48" s="137"/>
      <c r="F48" s="137"/>
      <c r="G48" s="137"/>
      <c r="H48" s="137"/>
      <c r="I48" s="137"/>
      <c r="L48" s="1"/>
      <c r="M48" s="1"/>
      <c r="N48" s="1"/>
      <c r="O48" s="1"/>
      <c r="P48" s="1"/>
    </row>
    <row r="49" spans="2:16" x14ac:dyDescent="0.25">
      <c r="B49" s="137"/>
      <c r="C49" s="137"/>
      <c r="D49" s="137"/>
      <c r="E49" s="137"/>
      <c r="F49" s="137"/>
      <c r="G49" s="137"/>
      <c r="H49" s="137"/>
      <c r="I49" s="137"/>
      <c r="L49" s="1"/>
      <c r="M49" s="1"/>
      <c r="N49" s="1"/>
      <c r="O49" s="1"/>
      <c r="P49" s="1"/>
    </row>
    <row r="50" spans="2:16" x14ac:dyDescent="0.25">
      <c r="B50" s="137"/>
      <c r="C50" s="137"/>
      <c r="D50" s="137"/>
      <c r="E50" s="137"/>
      <c r="F50" s="137"/>
      <c r="G50" s="137"/>
      <c r="H50" s="137"/>
      <c r="L50" s="1"/>
      <c r="M50" s="1"/>
      <c r="N50" s="1"/>
      <c r="O50" s="1"/>
      <c r="P50" s="1"/>
    </row>
    <row r="51" spans="2:16" x14ac:dyDescent="0.25">
      <c r="B51" s="137"/>
      <c r="C51" s="137"/>
      <c r="D51" s="137"/>
      <c r="E51" s="137"/>
      <c r="F51" s="137"/>
      <c r="G51" s="137"/>
      <c r="H51" s="137"/>
      <c r="L51" s="1"/>
      <c r="M51" s="1"/>
      <c r="N51" s="1"/>
      <c r="O51" s="1"/>
      <c r="P51" s="1"/>
    </row>
    <row r="52" spans="2:16" x14ac:dyDescent="0.25">
      <c r="B52" s="137"/>
      <c r="C52" s="137"/>
      <c r="D52" s="137"/>
      <c r="E52" s="137"/>
      <c r="F52" s="137"/>
      <c r="G52" s="137"/>
      <c r="H52" s="137"/>
      <c r="L52" s="1"/>
      <c r="M52" s="1"/>
      <c r="N52" s="1"/>
      <c r="O52" s="1"/>
      <c r="P52" s="1"/>
    </row>
    <row r="53" spans="2:16" x14ac:dyDescent="0.25">
      <c r="B53" s="137"/>
      <c r="C53" s="137"/>
      <c r="D53" s="137"/>
      <c r="E53" s="137"/>
      <c r="F53" s="137"/>
      <c r="G53" s="137"/>
      <c r="H53" s="137"/>
      <c r="L53" s="1"/>
      <c r="M53" s="1"/>
      <c r="N53" s="1"/>
      <c r="O53" s="1"/>
      <c r="P53" s="1"/>
    </row>
    <row r="54" spans="2:16" x14ac:dyDescent="0.25">
      <c r="B54" s="137"/>
      <c r="C54" s="137"/>
      <c r="D54" s="137"/>
      <c r="E54" s="137"/>
      <c r="F54" s="137"/>
      <c r="G54" s="137"/>
      <c r="H54" s="137"/>
      <c r="L54" s="1"/>
      <c r="M54" s="1"/>
      <c r="N54" s="1"/>
      <c r="O54" s="1"/>
      <c r="P54" s="1"/>
    </row>
    <row r="55" spans="2:16" x14ac:dyDescent="0.25">
      <c r="B55" s="137"/>
      <c r="C55" s="137"/>
      <c r="D55" s="137"/>
      <c r="E55" s="137"/>
      <c r="F55" s="137"/>
      <c r="G55" s="137"/>
      <c r="H55" s="137"/>
      <c r="L55" s="1"/>
      <c r="M55" s="1"/>
      <c r="N55" s="1"/>
      <c r="O55" s="1"/>
      <c r="P55" s="1"/>
    </row>
    <row r="56" spans="2:16" x14ac:dyDescent="0.25">
      <c r="B56" s="137"/>
      <c r="C56" s="137"/>
      <c r="D56" s="137"/>
      <c r="E56" s="137"/>
      <c r="F56" s="137"/>
      <c r="G56" s="1"/>
      <c r="H56" s="1"/>
      <c r="L56" s="1"/>
      <c r="M56" s="1"/>
      <c r="N56" s="1"/>
      <c r="O56" s="1"/>
      <c r="P56" s="1"/>
    </row>
    <row r="57" spans="2:16" x14ac:dyDescent="0.25">
      <c r="B57" s="137"/>
      <c r="C57" s="137"/>
      <c r="D57" s="137"/>
      <c r="E57" s="137"/>
      <c r="F57" s="137"/>
      <c r="G57" s="1"/>
      <c r="H57" s="1"/>
      <c r="L57" s="1"/>
      <c r="M57" s="1"/>
      <c r="N57" s="1"/>
      <c r="O57" s="1"/>
      <c r="P57" s="1"/>
    </row>
    <row r="58" spans="2:16" x14ac:dyDescent="0.25">
      <c r="B58" s="137"/>
      <c r="C58" s="137"/>
      <c r="D58" s="137"/>
      <c r="E58" s="137"/>
      <c r="F58" s="137"/>
      <c r="G58" s="1"/>
      <c r="H58" s="1"/>
      <c r="L58" s="1"/>
      <c r="M58" s="1"/>
      <c r="N58" s="1"/>
      <c r="O58" s="1"/>
      <c r="P58" s="1"/>
    </row>
    <row r="59" spans="2:16" x14ac:dyDescent="0.25">
      <c r="B59" s="137"/>
      <c r="C59" s="137"/>
      <c r="D59" s="137"/>
      <c r="E59" s="137"/>
      <c r="F59" s="137"/>
      <c r="G59" s="1"/>
      <c r="H59" s="1"/>
      <c r="L59" s="1"/>
      <c r="M59" s="1"/>
      <c r="N59" s="1"/>
      <c r="O59" s="1"/>
      <c r="P59" s="1"/>
    </row>
    <row r="60" spans="2:16" x14ac:dyDescent="0.25">
      <c r="B60" s="137"/>
      <c r="C60" s="137"/>
      <c r="D60" s="137"/>
      <c r="E60" s="137"/>
      <c r="F60" s="137"/>
      <c r="G60" s="1"/>
      <c r="H60" s="1"/>
      <c r="L60" s="1"/>
      <c r="M60" s="1"/>
      <c r="N60" s="1"/>
      <c r="O60" s="1"/>
      <c r="P60" s="1"/>
    </row>
    <row r="61" spans="2:16" x14ac:dyDescent="0.25">
      <c r="B61" s="137"/>
      <c r="C61" s="137"/>
      <c r="D61" s="137"/>
      <c r="E61" s="137"/>
      <c r="F61" s="137"/>
      <c r="G61" s="1"/>
      <c r="H61" s="1"/>
      <c r="L61" s="1"/>
      <c r="M61" s="1"/>
      <c r="N61" s="1"/>
      <c r="O61" s="1"/>
      <c r="P61" s="1"/>
    </row>
    <row r="62" spans="2:16" x14ac:dyDescent="0.25">
      <c r="B62" s="137"/>
      <c r="C62" s="137"/>
      <c r="D62" s="137"/>
      <c r="E62" s="137"/>
      <c r="F62" s="137"/>
      <c r="G62" s="1"/>
      <c r="H62" s="1"/>
      <c r="L62" s="1"/>
      <c r="M62" s="1"/>
      <c r="N62" s="1"/>
      <c r="O62" s="1"/>
      <c r="P62" s="1"/>
    </row>
    <row r="63" spans="2:16" x14ac:dyDescent="0.25">
      <c r="B63" s="137"/>
      <c r="C63" s="137"/>
      <c r="D63" s="137"/>
      <c r="E63" s="137"/>
      <c r="F63" s="137"/>
      <c r="G63" s="1"/>
      <c r="H63" s="1"/>
      <c r="L63" s="1"/>
      <c r="M63" s="1"/>
      <c r="N63" s="1"/>
      <c r="O63" s="1"/>
      <c r="P63" s="1"/>
    </row>
    <row r="64" spans="2:16" x14ac:dyDescent="0.25">
      <c r="B64" s="137"/>
      <c r="C64" s="137"/>
      <c r="D64" s="137"/>
      <c r="E64" s="137"/>
      <c r="F64" s="137"/>
      <c r="G64" s="1"/>
      <c r="H64" s="1"/>
      <c r="L64" s="1"/>
      <c r="M64" s="1"/>
      <c r="N64" s="1"/>
      <c r="O64" s="1"/>
      <c r="P64" s="1"/>
    </row>
    <row r="65" spans="2:16" x14ac:dyDescent="0.25">
      <c r="B65" s="137"/>
      <c r="C65" s="137"/>
      <c r="D65" s="137"/>
      <c r="E65" s="137"/>
      <c r="F65" s="137"/>
      <c r="G65" s="1"/>
      <c r="H65" s="1"/>
      <c r="L65" s="1"/>
      <c r="M65" s="1"/>
      <c r="N65" s="1"/>
      <c r="O65" s="1"/>
      <c r="P65" s="1"/>
    </row>
    <row r="66" spans="2:16" x14ac:dyDescent="0.25">
      <c r="B66" s="137"/>
      <c r="C66" s="137"/>
      <c r="D66" s="137"/>
      <c r="E66" s="137"/>
      <c r="F66" s="137"/>
      <c r="G66" s="1"/>
      <c r="H66" s="1"/>
      <c r="L66" s="1"/>
      <c r="M66" s="1"/>
      <c r="N66" s="1"/>
      <c r="O66" s="1"/>
      <c r="P66" s="1"/>
    </row>
    <row r="67" spans="2:16" x14ac:dyDescent="0.25">
      <c r="B67" s="137"/>
      <c r="C67" s="137"/>
      <c r="D67" s="137"/>
      <c r="E67" s="137"/>
      <c r="F67" s="137"/>
      <c r="G67" s="137"/>
      <c r="H67" s="137"/>
      <c r="L67" s="1"/>
      <c r="M67" s="1"/>
      <c r="N67" s="1"/>
      <c r="O67" s="1"/>
      <c r="P67" s="1"/>
    </row>
    <row r="68" spans="2:16" x14ac:dyDescent="0.25">
      <c r="B68" s="137"/>
      <c r="C68" s="137"/>
      <c r="D68" s="137"/>
      <c r="E68" s="137"/>
      <c r="F68" s="137"/>
      <c r="G68" s="137"/>
      <c r="H68" s="137"/>
      <c r="L68" s="1"/>
      <c r="M68" s="1"/>
      <c r="N68" s="1"/>
      <c r="O68" s="1"/>
      <c r="P68" s="1"/>
    </row>
    <row r="69" spans="2:16" x14ac:dyDescent="0.25">
      <c r="B69" s="137"/>
      <c r="C69" s="137"/>
      <c r="D69" s="137"/>
      <c r="E69" s="137"/>
      <c r="F69" s="137"/>
      <c r="G69" s="137"/>
      <c r="H69" s="137"/>
      <c r="L69" s="1"/>
      <c r="M69" s="1"/>
      <c r="N69" s="1"/>
      <c r="O69" s="1"/>
      <c r="P69" s="1"/>
    </row>
    <row r="70" spans="2:16" x14ac:dyDescent="0.25">
      <c r="B70" s="137"/>
      <c r="C70" s="137"/>
      <c r="D70" s="137"/>
      <c r="E70" s="137"/>
      <c r="F70" s="137"/>
      <c r="G70" s="137"/>
      <c r="H70" s="137"/>
      <c r="I70" s="137"/>
      <c r="J70" s="137"/>
      <c r="L70" s="1"/>
      <c r="M70" s="1"/>
      <c r="N70" s="1"/>
      <c r="O70" s="1"/>
      <c r="P70" s="1"/>
    </row>
    <row r="71" spans="2:16" x14ac:dyDescent="0.25">
      <c r="B71" s="137"/>
      <c r="C71" s="137"/>
      <c r="D71" s="137"/>
      <c r="E71" s="137"/>
      <c r="F71" s="137"/>
      <c r="G71" s="137"/>
      <c r="H71" s="137"/>
      <c r="I71" s="137"/>
      <c r="J71" s="137"/>
      <c r="L71" s="1"/>
      <c r="M71" s="1"/>
      <c r="N71" s="1"/>
      <c r="O71" s="1"/>
      <c r="P71" s="1"/>
    </row>
    <row r="72" spans="2:16" x14ac:dyDescent="0.25">
      <c r="B72" s="137"/>
      <c r="C72" s="137"/>
      <c r="D72" s="137"/>
      <c r="E72" s="137"/>
      <c r="F72" s="137"/>
      <c r="G72" s="137"/>
      <c r="H72" s="137"/>
      <c r="I72" s="137"/>
      <c r="J72" s="137"/>
      <c r="L72" s="1"/>
      <c r="M72" s="1"/>
      <c r="N72" s="1"/>
      <c r="O72" s="1"/>
      <c r="P72" s="1"/>
    </row>
    <row r="73" spans="2:16" x14ac:dyDescent="0.25">
      <c r="B73" s="137"/>
      <c r="C73" s="137"/>
      <c r="D73" s="137"/>
      <c r="E73" s="137"/>
      <c r="F73" s="137"/>
      <c r="G73" s="137"/>
      <c r="H73" s="137"/>
      <c r="I73" s="137"/>
      <c r="J73" s="137"/>
      <c r="L73" s="1"/>
      <c r="M73" s="1"/>
      <c r="N73" s="1"/>
      <c r="O73" s="1"/>
      <c r="P73" s="1"/>
    </row>
    <row r="74" spans="2:16" x14ac:dyDescent="0.25">
      <c r="B74" s="137"/>
      <c r="C74" s="137"/>
      <c r="D74" s="137"/>
      <c r="E74" s="137"/>
      <c r="F74" s="137"/>
      <c r="G74" s="137"/>
      <c r="H74" s="137"/>
      <c r="I74" s="137"/>
      <c r="J74" s="137"/>
      <c r="L74" s="1"/>
      <c r="M74" s="1"/>
      <c r="N74" s="1"/>
      <c r="O74" s="1"/>
      <c r="P74" s="1"/>
    </row>
    <row r="75" spans="2:16" x14ac:dyDescent="0.25">
      <c r="B75" s="137"/>
      <c r="C75" s="137"/>
      <c r="D75" s="137"/>
      <c r="E75" s="137"/>
      <c r="F75" s="137"/>
      <c r="G75" s="137"/>
      <c r="H75" s="137"/>
      <c r="I75" s="137"/>
      <c r="J75" s="137"/>
      <c r="L75" s="1"/>
      <c r="M75" s="1"/>
      <c r="N75" s="1"/>
      <c r="O75" s="1"/>
      <c r="P75" s="1"/>
    </row>
    <row r="76" spans="2:16" x14ac:dyDescent="0.25">
      <c r="B76" s="137"/>
      <c r="C76" s="137"/>
      <c r="D76" s="137"/>
      <c r="E76" s="137"/>
      <c r="F76" s="137"/>
      <c r="G76" s="137"/>
      <c r="H76" s="137"/>
      <c r="I76" s="137"/>
      <c r="J76" s="137"/>
      <c r="L76" s="1"/>
      <c r="M76" s="1"/>
      <c r="N76" s="1"/>
      <c r="O76" s="1"/>
      <c r="P76" s="1"/>
    </row>
    <row r="77" spans="2:16" x14ac:dyDescent="0.25">
      <c r="B77" s="137"/>
      <c r="C77" s="137"/>
      <c r="D77" s="137"/>
      <c r="E77" s="137"/>
      <c r="F77" s="137"/>
      <c r="G77" s="137"/>
      <c r="H77" s="137"/>
      <c r="I77" s="137"/>
      <c r="J77" s="137"/>
      <c r="L77" s="1"/>
      <c r="M77" s="1"/>
      <c r="N77" s="1"/>
      <c r="O77" s="1"/>
      <c r="P77" s="1"/>
    </row>
    <row r="78" spans="2:16" x14ac:dyDescent="0.25">
      <c r="B78" s="137"/>
      <c r="C78" s="137"/>
      <c r="D78" s="137"/>
      <c r="E78" s="137"/>
      <c r="F78" s="137"/>
      <c r="G78" s="137"/>
      <c r="H78" s="137"/>
      <c r="I78" s="137"/>
      <c r="J78" s="137"/>
      <c r="L78" s="1"/>
      <c r="M78" s="1"/>
      <c r="N78" s="1"/>
      <c r="O78" s="1"/>
      <c r="P78" s="1"/>
    </row>
    <row r="79" spans="2:16" x14ac:dyDescent="0.25">
      <c r="B79" s="137"/>
      <c r="C79" s="137"/>
      <c r="D79" s="137"/>
      <c r="E79" s="137"/>
      <c r="F79" s="137"/>
      <c r="G79" s="137"/>
      <c r="H79" s="137"/>
      <c r="I79" s="137"/>
      <c r="J79" s="137"/>
      <c r="L79" s="1"/>
      <c r="M79" s="1"/>
      <c r="N79" s="1"/>
      <c r="O79" s="1"/>
      <c r="P79" s="1"/>
    </row>
    <row r="80" spans="2:16" x14ac:dyDescent="0.25">
      <c r="B80" s="137"/>
      <c r="C80" s="137"/>
      <c r="D80" s="137"/>
      <c r="E80" s="137"/>
      <c r="F80" s="137"/>
      <c r="G80" s="137"/>
      <c r="H80" s="137"/>
      <c r="I80" s="137"/>
      <c r="J80" s="137"/>
      <c r="L80" s="1"/>
      <c r="M80" s="1"/>
      <c r="N80" s="1"/>
      <c r="O80" s="1"/>
      <c r="P80" s="1"/>
    </row>
    <row r="81" spans="2:16" x14ac:dyDescent="0.25">
      <c r="B81" s="137"/>
      <c r="C81" s="137"/>
      <c r="D81" s="137"/>
      <c r="E81" s="137"/>
      <c r="F81" s="137"/>
      <c r="G81" s="137"/>
      <c r="H81" s="137"/>
      <c r="I81" s="137"/>
      <c r="J81" s="137"/>
      <c r="K81" s="137"/>
      <c r="M81" s="1"/>
      <c r="N81" s="1"/>
      <c r="O81" s="1"/>
      <c r="P81" s="1"/>
    </row>
    <row r="82" spans="2:16" x14ac:dyDescent="0.25">
      <c r="B82" s="137"/>
      <c r="C82" s="137"/>
      <c r="D82" s="137"/>
      <c r="E82" s="137"/>
      <c r="F82" s="137"/>
      <c r="G82" s="137"/>
      <c r="H82" s="137"/>
      <c r="I82" s="137"/>
      <c r="J82" s="137"/>
      <c r="K82" s="137"/>
      <c r="M82" s="1"/>
      <c r="N82" s="1"/>
      <c r="O82" s="1"/>
      <c r="P82" s="1"/>
    </row>
    <row r="83" spans="2:16" x14ac:dyDescent="0.25">
      <c r="B83" s="137"/>
      <c r="C83" s="137"/>
      <c r="D83" s="137"/>
      <c r="E83" s="137"/>
      <c r="F83" s="137"/>
      <c r="G83" s="137"/>
      <c r="H83" s="137"/>
      <c r="I83" s="137"/>
      <c r="J83" s="137"/>
      <c r="K83" s="137"/>
      <c r="M83" s="1"/>
      <c r="N83" s="1"/>
      <c r="O83" s="1"/>
      <c r="P83" s="1"/>
    </row>
    <row r="84" spans="2:16" x14ac:dyDescent="0.25">
      <c r="B84" s="137"/>
      <c r="C84" s="137"/>
      <c r="D84" s="137"/>
      <c r="E84" s="137"/>
      <c r="F84" s="137"/>
      <c r="G84" s="137"/>
      <c r="H84" s="137"/>
      <c r="I84" s="137"/>
      <c r="J84" s="137"/>
      <c r="K84" s="137"/>
      <c r="M84" s="1"/>
      <c r="N84" s="1"/>
      <c r="O84" s="1"/>
      <c r="P84" s="1"/>
    </row>
    <row r="85" spans="2:16" x14ac:dyDescent="0.25">
      <c r="B85" s="137"/>
      <c r="C85" s="137"/>
      <c r="D85" s="137"/>
      <c r="E85" s="137"/>
      <c r="F85" s="137"/>
      <c r="G85" s="137"/>
      <c r="H85" s="137"/>
      <c r="I85" s="137"/>
      <c r="J85" s="137"/>
      <c r="K85" s="137"/>
      <c r="M85" s="1"/>
      <c r="N85" s="1"/>
      <c r="O85" s="1"/>
      <c r="P85" s="1"/>
    </row>
    <row r="86" spans="2:16" x14ac:dyDescent="0.25">
      <c r="B86" s="137"/>
      <c r="C86" s="137"/>
      <c r="D86" s="137"/>
      <c r="E86" s="137"/>
      <c r="F86" s="137"/>
      <c r="G86" s="137"/>
      <c r="H86" s="137"/>
      <c r="I86" s="137"/>
      <c r="J86" s="137"/>
      <c r="K86" s="137"/>
      <c r="M86" s="1"/>
      <c r="N86" s="1"/>
      <c r="O86" s="1"/>
      <c r="P86" s="1"/>
    </row>
    <row r="87" spans="2:16" x14ac:dyDescent="0.25">
      <c r="B87" s="137"/>
      <c r="C87" s="137"/>
      <c r="D87" s="137"/>
      <c r="E87" s="137"/>
      <c r="F87" s="137"/>
      <c r="G87" s="137"/>
      <c r="H87" s="137"/>
      <c r="I87" s="137"/>
      <c r="J87" s="137"/>
      <c r="K87" s="137"/>
      <c r="M87" s="1"/>
      <c r="N87" s="1"/>
      <c r="O87" s="1"/>
      <c r="P87" s="1"/>
    </row>
    <row r="88" spans="2:16" x14ac:dyDescent="0.25">
      <c r="B88" s="137"/>
      <c r="C88" s="137"/>
      <c r="D88" s="137"/>
      <c r="E88" s="137"/>
      <c r="F88" s="137"/>
      <c r="G88" s="137"/>
      <c r="H88" s="137"/>
      <c r="I88" s="30"/>
      <c r="J88" s="137"/>
      <c r="K88" s="137"/>
      <c r="O88" s="1"/>
      <c r="P88" s="1"/>
    </row>
    <row r="89" spans="2:16" x14ac:dyDescent="0.25">
      <c r="B89" s="137"/>
      <c r="C89" s="137"/>
      <c r="D89" s="137"/>
      <c r="E89" s="137"/>
      <c r="F89" s="137"/>
      <c r="G89" s="137"/>
      <c r="H89" s="137"/>
      <c r="I89" s="30"/>
      <c r="J89" s="137"/>
      <c r="K89" s="137"/>
      <c r="O89" s="1"/>
      <c r="P89" s="1"/>
    </row>
    <row r="90" spans="2:16" x14ac:dyDescent="0.25">
      <c r="B90" s="137"/>
      <c r="C90" s="137"/>
      <c r="D90" s="137"/>
      <c r="E90" s="137"/>
      <c r="F90" s="137"/>
      <c r="G90" s="137"/>
      <c r="H90" s="137"/>
      <c r="I90" s="30"/>
      <c r="J90" s="137"/>
      <c r="K90" s="137"/>
      <c r="O90" s="1"/>
      <c r="P90" s="1"/>
    </row>
    <row r="91" spans="2:16" x14ac:dyDescent="0.25">
      <c r="B91" s="137"/>
      <c r="C91" s="137"/>
      <c r="D91" s="137"/>
      <c r="E91" s="137"/>
      <c r="F91" s="137"/>
      <c r="G91" s="137"/>
      <c r="H91" s="137"/>
      <c r="I91" s="30"/>
      <c r="J91" s="137"/>
      <c r="K91" s="137"/>
      <c r="O91" s="1"/>
      <c r="P91" s="1"/>
    </row>
    <row r="92" spans="2:16" x14ac:dyDescent="0.25">
      <c r="B92" s="137"/>
      <c r="I92" s="30"/>
      <c r="J92" s="137"/>
      <c r="K92" s="137"/>
      <c r="O92" s="1"/>
      <c r="P92" s="1"/>
    </row>
    <row r="93" spans="2:16" x14ac:dyDescent="0.25">
      <c r="B93" s="137"/>
      <c r="I93" s="30"/>
      <c r="J93" s="137"/>
      <c r="K93" s="137"/>
      <c r="O93" s="1"/>
      <c r="P93" s="1"/>
    </row>
    <row r="94" spans="2:16" x14ac:dyDescent="0.25">
      <c r="B94" s="137"/>
      <c r="G94" s="1"/>
      <c r="H94" s="1"/>
      <c r="J94" s="137"/>
      <c r="K94" s="137"/>
      <c r="O94" s="1"/>
      <c r="P94" s="1"/>
    </row>
    <row r="95" spans="2:16" x14ac:dyDescent="0.25">
      <c r="B95" s="137"/>
      <c r="G95" s="1"/>
      <c r="H95" s="1"/>
      <c r="J95" s="137"/>
      <c r="K95" s="137"/>
      <c r="O95" s="1"/>
      <c r="P95" s="1"/>
    </row>
    <row r="96" spans="2:16" x14ac:dyDescent="0.25">
      <c r="B96" s="137"/>
      <c r="G96" s="1"/>
      <c r="H96" s="1"/>
      <c r="J96" s="137"/>
      <c r="K96" s="137"/>
      <c r="O96" s="1"/>
      <c r="P96" s="1"/>
    </row>
    <row r="97" spans="2:16" x14ac:dyDescent="0.25">
      <c r="B97" s="137"/>
      <c r="G97" s="1"/>
      <c r="H97" s="1"/>
      <c r="J97" s="137"/>
      <c r="K97" s="137"/>
      <c r="O97" s="1"/>
      <c r="P97" s="1"/>
    </row>
    <row r="98" spans="2:16" x14ac:dyDescent="0.25">
      <c r="B98" s="137"/>
      <c r="G98" s="1"/>
      <c r="H98" s="1"/>
      <c r="J98" s="137"/>
      <c r="K98" s="137"/>
      <c r="O98" s="1"/>
      <c r="P98" s="1"/>
    </row>
    <row r="99" spans="2:16" x14ac:dyDescent="0.25">
      <c r="B99" s="137"/>
      <c r="G99" s="1"/>
      <c r="H99" s="1"/>
      <c r="J99" s="137"/>
      <c r="K99" s="137"/>
      <c r="O99" s="1"/>
      <c r="P99" s="1"/>
    </row>
    <row r="100" spans="2:16" x14ac:dyDescent="0.25">
      <c r="B100" s="137"/>
      <c r="G100" s="1"/>
      <c r="H100" s="1"/>
      <c r="J100" s="137"/>
      <c r="K100" s="137"/>
      <c r="O100" s="1"/>
      <c r="P100" s="1"/>
    </row>
    <row r="101" spans="2:16" x14ac:dyDescent="0.25">
      <c r="B101" s="137"/>
      <c r="G101" s="1"/>
      <c r="H101" s="1"/>
      <c r="J101" s="137"/>
      <c r="K101" s="137"/>
      <c r="O101" s="1"/>
      <c r="P101" s="1"/>
    </row>
    <row r="102" spans="2:16" x14ac:dyDescent="0.25">
      <c r="B102" s="137"/>
      <c r="G102" s="1"/>
      <c r="H102" s="1"/>
      <c r="J102" s="137"/>
      <c r="K102" s="137"/>
      <c r="O102" s="1"/>
      <c r="P102" s="1"/>
    </row>
    <row r="103" spans="2:16" x14ac:dyDescent="0.25">
      <c r="B103" s="137"/>
      <c r="G103" s="1"/>
      <c r="H103" s="1"/>
      <c r="J103" s="137"/>
      <c r="K103" s="137"/>
      <c r="O103" s="1"/>
      <c r="P103" s="1"/>
    </row>
    <row r="104" spans="2:16" x14ac:dyDescent="0.25">
      <c r="B104" s="137"/>
      <c r="G104" s="1"/>
      <c r="H104" s="1"/>
      <c r="J104" s="137"/>
      <c r="K104" s="137"/>
      <c r="O104" s="1"/>
      <c r="P104" s="1"/>
    </row>
    <row r="105" spans="2:16" x14ac:dyDescent="0.25">
      <c r="G105" s="1"/>
      <c r="H105" s="1"/>
      <c r="J105" s="137"/>
      <c r="K105" s="137"/>
      <c r="O105" s="1"/>
      <c r="P105" s="1"/>
    </row>
    <row r="106" spans="2:16" x14ac:dyDescent="0.25">
      <c r="G106" s="1"/>
      <c r="H106" s="1"/>
      <c r="J106" s="137"/>
      <c r="K106" s="137"/>
      <c r="O106" s="1"/>
      <c r="P106" s="1"/>
    </row>
    <row r="107" spans="2:16" x14ac:dyDescent="0.25">
      <c r="G107" s="1"/>
      <c r="H107" s="1"/>
      <c r="J107" s="137"/>
      <c r="K107" s="137"/>
      <c r="O107" s="1"/>
      <c r="P107" s="1"/>
    </row>
    <row r="108" spans="2:16" x14ac:dyDescent="0.25">
      <c r="G108" s="1"/>
      <c r="H108" s="1"/>
      <c r="J108" s="137"/>
      <c r="K108" s="137"/>
      <c r="O108" s="1"/>
      <c r="P108" s="1"/>
    </row>
    <row r="109" spans="2:16" x14ac:dyDescent="0.25">
      <c r="G109" s="1"/>
      <c r="H109" s="1"/>
      <c r="J109" s="137"/>
      <c r="K109" s="137"/>
      <c r="O109" s="1"/>
      <c r="P109" s="1"/>
    </row>
    <row r="110" spans="2:16" x14ac:dyDescent="0.25">
      <c r="G110" s="1"/>
      <c r="H110" s="1"/>
      <c r="J110" s="137"/>
      <c r="K110" s="137"/>
      <c r="O110" s="1"/>
      <c r="P110" s="1"/>
    </row>
    <row r="111" spans="2:16" x14ac:dyDescent="0.25">
      <c r="G111" s="1"/>
      <c r="H111" s="1"/>
      <c r="J111" s="137"/>
      <c r="K111" s="137"/>
      <c r="O111" s="1"/>
      <c r="P111" s="1"/>
    </row>
    <row r="112" spans="2:16" x14ac:dyDescent="0.25">
      <c r="G112" s="1"/>
      <c r="H112" s="1"/>
      <c r="J112" s="137"/>
      <c r="K112" s="137"/>
      <c r="O112" s="1"/>
      <c r="P112" s="1"/>
    </row>
    <row r="113" spans="7:16" x14ac:dyDescent="0.25">
      <c r="G113" s="1"/>
      <c r="H113" s="1"/>
      <c r="J113" s="137"/>
      <c r="K113" s="137"/>
      <c r="O113" s="1"/>
      <c r="P113" s="1"/>
    </row>
    <row r="114" spans="7:16" x14ac:dyDescent="0.25">
      <c r="G114" s="1"/>
      <c r="H114" s="1"/>
      <c r="J114" s="137"/>
      <c r="K114" s="137"/>
      <c r="O114" s="1"/>
      <c r="P114" s="1"/>
    </row>
    <row r="115" spans="7:16" x14ac:dyDescent="0.25">
      <c r="G115" s="1"/>
      <c r="H115" s="1"/>
      <c r="J115" s="137"/>
      <c r="K115" s="137"/>
      <c r="O115" s="1"/>
      <c r="P115" s="1"/>
    </row>
    <row r="116" spans="7:16" x14ac:dyDescent="0.25">
      <c r="G116" s="1"/>
      <c r="H116" s="1"/>
      <c r="J116" s="137"/>
      <c r="K116" s="137"/>
      <c r="O116" s="1"/>
      <c r="P116" s="1"/>
    </row>
    <row r="117" spans="7:16" x14ac:dyDescent="0.25">
      <c r="G117" s="1"/>
      <c r="H117" s="1"/>
      <c r="J117" s="137"/>
      <c r="K117" s="137"/>
      <c r="O117" s="1"/>
      <c r="P117" s="1"/>
    </row>
    <row r="118" spans="7:16" x14ac:dyDescent="0.25">
      <c r="G118" s="1"/>
      <c r="H118" s="1"/>
      <c r="J118" s="137"/>
      <c r="K118" s="137"/>
      <c r="O118" s="1"/>
      <c r="P118" s="1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workbookViewId="0">
      <selection sqref="A1:I1"/>
    </sheetView>
  </sheetViews>
  <sheetFormatPr defaultRowHeight="15" x14ac:dyDescent="0.25"/>
  <cols>
    <col min="1" max="1" width="49.7109375" style="1" bestFit="1" customWidth="1"/>
    <col min="2" max="3" width="15" style="30" bestFit="1" customWidth="1"/>
    <col min="4" max="5" width="13.28515625" style="30" bestFit="1" customWidth="1"/>
    <col min="6" max="6" width="17.7109375" style="30" customWidth="1"/>
    <col min="7" max="7" width="13.5703125" style="30" bestFit="1" customWidth="1"/>
    <col min="8" max="8" width="13.28515625" style="1" bestFit="1" customWidth="1"/>
    <col min="9" max="9" width="13.85546875" style="1" customWidth="1"/>
    <col min="10" max="10" width="3" style="1" customWidth="1"/>
    <col min="11" max="11" width="29.7109375" style="1" bestFit="1" customWidth="1"/>
    <col min="12" max="15" width="9" style="1" bestFit="1" customWidth="1"/>
    <col min="16" max="16" width="4.85546875" style="1" customWidth="1"/>
    <col min="17" max="17" width="8" style="1" bestFit="1" customWidth="1"/>
    <col min="18" max="18" width="9" style="1" bestFit="1" customWidth="1"/>
    <col min="19" max="19" width="2" style="1" bestFit="1" customWidth="1"/>
    <col min="20" max="16384" width="9.140625" style="1"/>
  </cols>
  <sheetData>
    <row r="1" spans="1:9" x14ac:dyDescent="0.25">
      <c r="A1" s="151" t="s">
        <v>0</v>
      </c>
      <c r="B1" s="151"/>
      <c r="C1" s="151"/>
      <c r="D1" s="151"/>
      <c r="E1" s="151"/>
      <c r="F1" s="151"/>
      <c r="G1" s="151"/>
      <c r="H1" s="151"/>
      <c r="I1" s="151"/>
    </row>
    <row r="2" spans="1:9" ht="18.75" x14ac:dyDescent="0.3">
      <c r="A2" s="152" t="s">
        <v>69</v>
      </c>
      <c r="B2" s="152"/>
      <c r="C2" s="152"/>
      <c r="D2" s="152"/>
      <c r="E2" s="152"/>
      <c r="F2" s="152"/>
      <c r="G2" s="152"/>
      <c r="H2" s="152"/>
      <c r="I2" s="152"/>
    </row>
    <row r="3" spans="1:9" x14ac:dyDescent="0.25">
      <c r="A3" s="151" t="s">
        <v>1</v>
      </c>
      <c r="B3" s="151"/>
      <c r="C3" s="151"/>
      <c r="D3" s="151"/>
      <c r="E3" s="151"/>
      <c r="F3" s="151"/>
      <c r="G3" s="151"/>
      <c r="H3" s="151"/>
      <c r="I3" s="151"/>
    </row>
    <row r="4" spans="1:9" x14ac:dyDescent="0.25">
      <c r="A4" s="153">
        <v>45107</v>
      </c>
      <c r="B4" s="153"/>
      <c r="C4" s="153"/>
      <c r="D4" s="153"/>
      <c r="E4" s="153"/>
      <c r="F4" s="153"/>
      <c r="G4" s="153"/>
      <c r="H4" s="153"/>
      <c r="I4" s="153"/>
    </row>
    <row r="5" spans="1:9" x14ac:dyDescent="0.25">
      <c r="A5" s="151" t="s">
        <v>2</v>
      </c>
      <c r="B5" s="151"/>
      <c r="C5" s="151"/>
      <c r="D5" s="151"/>
      <c r="E5" s="151"/>
      <c r="F5" s="151"/>
      <c r="G5" s="151"/>
      <c r="H5" s="151"/>
      <c r="I5" s="151"/>
    </row>
    <row r="6" spans="1:9" ht="15.75" thickBot="1" x14ac:dyDescent="0.3">
      <c r="A6" s="151"/>
      <c r="B6" s="151"/>
      <c r="C6" s="151"/>
      <c r="D6" s="151"/>
      <c r="E6" s="151"/>
      <c r="F6" s="151"/>
      <c r="G6" s="151"/>
      <c r="H6" s="151"/>
      <c r="I6" s="151"/>
    </row>
    <row r="7" spans="1:9" s="5" customFormat="1" ht="45.75" thickBot="1" x14ac:dyDescent="0.25">
      <c r="A7" s="2" t="s">
        <v>32</v>
      </c>
      <c r="B7" s="32" t="s">
        <v>34</v>
      </c>
      <c r="C7" s="32" t="s">
        <v>33</v>
      </c>
      <c r="D7" s="32" t="s">
        <v>3</v>
      </c>
      <c r="E7" s="32" t="s">
        <v>4</v>
      </c>
      <c r="F7" s="32" t="s">
        <v>5</v>
      </c>
      <c r="G7" s="32" t="s">
        <v>6</v>
      </c>
      <c r="H7" s="3" t="s">
        <v>7</v>
      </c>
      <c r="I7" s="4" t="s">
        <v>31</v>
      </c>
    </row>
    <row r="8" spans="1:9" s="5" customFormat="1" x14ac:dyDescent="0.2">
      <c r="A8" s="6" t="s">
        <v>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f t="shared" ref="G8:G11" si="0">SUM(E8:F8)</f>
        <v>0</v>
      </c>
      <c r="H8" s="7">
        <f t="shared" ref="H8:H11" si="1">C8-G8</f>
        <v>0</v>
      </c>
      <c r="I8" s="35" t="str">
        <f t="shared" ref="I8:I11" si="2">IF(C8=0,"NA",H8/C8)</f>
        <v>NA</v>
      </c>
    </row>
    <row r="9" spans="1:9" s="5" customFormat="1" x14ac:dyDescent="0.2">
      <c r="A9" s="6" t="s">
        <v>11</v>
      </c>
      <c r="B9" s="7">
        <v>29976191</v>
      </c>
      <c r="C9" s="7">
        <v>29976191</v>
      </c>
      <c r="D9" s="7">
        <v>0</v>
      </c>
      <c r="E9" s="7">
        <v>19859400</v>
      </c>
      <c r="F9" s="7">
        <v>0</v>
      </c>
      <c r="G9" s="7">
        <f t="shared" si="0"/>
        <v>19859400</v>
      </c>
      <c r="H9" s="7">
        <f t="shared" si="1"/>
        <v>10116791</v>
      </c>
      <c r="I9" s="35">
        <f t="shared" si="2"/>
        <v>0.33749421332416785</v>
      </c>
    </row>
    <row r="10" spans="1:9" s="5" customFormat="1" ht="24.95" customHeight="1" x14ac:dyDescent="0.2">
      <c r="A10" s="10" t="s">
        <v>12</v>
      </c>
      <c r="B10" s="11">
        <f t="shared" ref="B10:F10" si="3">SUM(B8:B9)</f>
        <v>29976191</v>
      </c>
      <c r="C10" s="11">
        <f t="shared" si="3"/>
        <v>29976191</v>
      </c>
      <c r="D10" s="11">
        <f t="shared" si="3"/>
        <v>0</v>
      </c>
      <c r="E10" s="11">
        <f t="shared" si="3"/>
        <v>19859400</v>
      </c>
      <c r="F10" s="11">
        <f t="shared" si="3"/>
        <v>0</v>
      </c>
      <c r="G10" s="11">
        <f t="shared" si="0"/>
        <v>19859400</v>
      </c>
      <c r="H10" s="11">
        <f t="shared" si="1"/>
        <v>10116791</v>
      </c>
      <c r="I10" s="36">
        <f t="shared" si="2"/>
        <v>0.33749421332416785</v>
      </c>
    </row>
    <row r="11" spans="1:9" s="5" customFormat="1" x14ac:dyDescent="0.2">
      <c r="A11" s="27" t="s">
        <v>25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f t="shared" si="0"/>
        <v>0</v>
      </c>
      <c r="H11" s="13">
        <f t="shared" si="1"/>
        <v>0</v>
      </c>
      <c r="I11" s="37" t="str">
        <f t="shared" si="2"/>
        <v>NA</v>
      </c>
    </row>
    <row r="12" spans="1:9" s="5" customFormat="1" x14ac:dyDescent="0.2">
      <c r="A12" s="28" t="s">
        <v>24</v>
      </c>
      <c r="B12" s="9">
        <v>29976191</v>
      </c>
      <c r="C12" s="9">
        <v>29976191</v>
      </c>
      <c r="D12" s="9">
        <v>0</v>
      </c>
      <c r="E12" s="9">
        <v>19859400</v>
      </c>
      <c r="F12" s="9">
        <v>0</v>
      </c>
      <c r="G12" s="9">
        <f t="shared" ref="G12" si="4">SUM(E12:F12)</f>
        <v>19859400</v>
      </c>
      <c r="H12" s="9">
        <f t="shared" ref="H12" si="5">C12-G12</f>
        <v>10116791</v>
      </c>
      <c r="I12" s="38">
        <f t="shared" ref="I12" si="6">IF(C12=0,"NA",H12/C12)</f>
        <v>0.33749421332416785</v>
      </c>
    </row>
    <row r="13" spans="1:9" s="5" customFormat="1" ht="24.95" customHeight="1" x14ac:dyDescent="0.2">
      <c r="A13" s="10" t="s">
        <v>26</v>
      </c>
      <c r="B13" s="11">
        <f t="shared" ref="B13:F13" si="7">SUM(B12:B12)</f>
        <v>29976191</v>
      </c>
      <c r="C13" s="11">
        <f t="shared" si="7"/>
        <v>29976191</v>
      </c>
      <c r="D13" s="11">
        <f t="shared" si="7"/>
        <v>0</v>
      </c>
      <c r="E13" s="11">
        <f t="shared" si="7"/>
        <v>19859400</v>
      </c>
      <c r="F13" s="11">
        <f t="shared" si="7"/>
        <v>0</v>
      </c>
      <c r="G13" s="11">
        <f t="shared" ref="G13" si="8">SUM(E13:F13)</f>
        <v>19859400</v>
      </c>
      <c r="H13" s="11">
        <f t="shared" ref="H13" si="9">C13-G13</f>
        <v>10116791</v>
      </c>
      <c r="I13" s="36">
        <f t="shared" ref="I13" si="10">IF(C13=0,"NA",H13/C13)</f>
        <v>0.33749421332416785</v>
      </c>
    </row>
    <row r="14" spans="1:9" s="5" customFormat="1" x14ac:dyDescent="0.2">
      <c r="A14" s="12"/>
      <c r="B14" s="13"/>
      <c r="C14" s="13"/>
      <c r="D14" s="13"/>
      <c r="E14" s="13"/>
      <c r="F14" s="13"/>
      <c r="G14" s="13"/>
      <c r="H14" s="14"/>
      <c r="I14" s="15"/>
    </row>
    <row r="15" spans="1:9" s="5" customFormat="1" x14ac:dyDescent="0.2">
      <c r="A15" s="6" t="s">
        <v>27</v>
      </c>
      <c r="B15" s="7">
        <f>B10-B13</f>
        <v>0</v>
      </c>
      <c r="C15" s="7">
        <f>C10-C13</f>
        <v>0</v>
      </c>
      <c r="D15" s="7">
        <f>D10-D13</f>
        <v>0</v>
      </c>
      <c r="E15" s="7">
        <f>E10-E13</f>
        <v>0</v>
      </c>
      <c r="F15" s="7"/>
      <c r="G15" s="7">
        <f>G10-G13</f>
        <v>0</v>
      </c>
      <c r="H15" s="7">
        <f>H10-H13</f>
        <v>0</v>
      </c>
      <c r="I15" s="16"/>
    </row>
    <row r="16" spans="1:9" s="5" customFormat="1" x14ac:dyDescent="0.2">
      <c r="A16" s="8"/>
      <c r="B16" s="9"/>
      <c r="C16" s="9"/>
      <c r="D16" s="9"/>
      <c r="E16" s="9"/>
      <c r="F16" s="9"/>
      <c r="G16" s="9"/>
      <c r="H16" s="9"/>
      <c r="I16" s="17"/>
    </row>
    <row r="17" spans="1:10" s="5" customFormat="1" ht="24.95" customHeight="1" x14ac:dyDescent="0.2">
      <c r="A17" s="18" t="s">
        <v>73</v>
      </c>
      <c r="B17" s="20"/>
      <c r="C17" s="20"/>
      <c r="D17" s="20"/>
      <c r="E17" s="20">
        <v>47604.51</v>
      </c>
      <c r="F17" s="20"/>
      <c r="G17" s="20">
        <f>E17</f>
        <v>47604.51</v>
      </c>
      <c r="H17" s="19"/>
      <c r="I17" s="21"/>
    </row>
    <row r="18" spans="1:10" s="5" customFormat="1" ht="24.95" customHeight="1" thickBot="1" x14ac:dyDescent="0.25">
      <c r="A18" s="22" t="s">
        <v>28</v>
      </c>
      <c r="B18" s="24"/>
      <c r="C18" s="24"/>
      <c r="D18" s="24"/>
      <c r="E18" s="24">
        <f>SUM(E15:E17)</f>
        <v>47604.51</v>
      </c>
      <c r="F18" s="24"/>
      <c r="G18" s="24">
        <f>SUM(G15:G17)</f>
        <v>47604.51</v>
      </c>
      <c r="H18" s="23"/>
      <c r="I18" s="25"/>
    </row>
    <row r="19" spans="1:10" s="5" customFormat="1" x14ac:dyDescent="0.2">
      <c r="B19" s="33"/>
      <c r="C19" s="33"/>
      <c r="D19" s="33"/>
      <c r="E19" s="33"/>
      <c r="F19" s="33"/>
      <c r="G19" s="33"/>
    </row>
    <row r="20" spans="1:10" s="5" customFormat="1" x14ac:dyDescent="0.2">
      <c r="A20" s="31"/>
      <c r="B20" s="33"/>
      <c r="C20" s="33"/>
      <c r="D20" s="33"/>
      <c r="E20" s="33"/>
      <c r="F20" s="33"/>
      <c r="G20" s="33"/>
    </row>
    <row r="21" spans="1:10" s="5" customFormat="1" x14ac:dyDescent="0.2">
      <c r="B21" s="33"/>
      <c r="C21" s="33"/>
      <c r="D21" s="33"/>
      <c r="E21" s="33"/>
      <c r="F21" s="33"/>
      <c r="G21" s="33"/>
      <c r="H21" s="33"/>
      <c r="I21" s="33"/>
    </row>
    <row r="22" spans="1:10" x14ac:dyDescent="0.25">
      <c r="H22" s="30"/>
      <c r="I22" s="30"/>
    </row>
    <row r="24" spans="1:10" x14ac:dyDescent="0.25">
      <c r="H24" s="30"/>
      <c r="I24" s="30"/>
      <c r="J24" s="30"/>
    </row>
    <row r="26" spans="1:10" x14ac:dyDescent="0.25">
      <c r="H26" s="30"/>
      <c r="I26" s="30"/>
    </row>
    <row r="27" spans="1:10" x14ac:dyDescent="0.25">
      <c r="H27" s="30"/>
      <c r="I27" s="30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6"/>
  <sheetViews>
    <sheetView workbookViewId="0">
      <selection sqref="A1:I1"/>
    </sheetView>
  </sheetViews>
  <sheetFormatPr defaultRowHeight="15" x14ac:dyDescent="0.25"/>
  <cols>
    <col min="1" max="1" width="52.28515625" style="1" bestFit="1" customWidth="1"/>
    <col min="2" max="3" width="15.140625" style="30" bestFit="1" customWidth="1"/>
    <col min="4" max="4" width="13.42578125" style="30" bestFit="1" customWidth="1"/>
    <col min="5" max="5" width="14.5703125" style="30" bestFit="1" customWidth="1"/>
    <col min="6" max="6" width="17.5703125" style="30" customWidth="1"/>
    <col min="7" max="7" width="14.5703125" style="30" bestFit="1" customWidth="1"/>
    <col min="8" max="8" width="14.28515625" style="30" bestFit="1" customWidth="1"/>
    <col min="9" max="9" width="14.85546875" style="1" customWidth="1"/>
    <col min="10" max="10" width="3.5703125" style="48" customWidth="1"/>
    <col min="11" max="11" width="29.7109375" style="1" bestFit="1" customWidth="1"/>
    <col min="12" max="13" width="14.5703125" style="137" bestFit="1" customWidth="1"/>
    <col min="14" max="14" width="12.85546875" style="137" bestFit="1" customWidth="1"/>
    <col min="15" max="16" width="13.5703125" style="137" bestFit="1" customWidth="1"/>
    <col min="17" max="17" width="10.28515625" style="1" customWidth="1"/>
    <col min="18" max="18" width="9.7109375" style="1" bestFit="1" customWidth="1"/>
    <col min="19" max="16384" width="9.140625" style="1"/>
  </cols>
  <sheetData>
    <row r="1" spans="1:20" x14ac:dyDescent="0.25">
      <c r="A1" s="151" t="s">
        <v>0</v>
      </c>
      <c r="B1" s="151"/>
      <c r="C1" s="151"/>
      <c r="D1" s="151"/>
      <c r="E1" s="151"/>
      <c r="F1" s="151"/>
      <c r="G1" s="151"/>
      <c r="H1" s="151"/>
      <c r="I1" s="151"/>
      <c r="J1" s="40"/>
    </row>
    <row r="2" spans="1:20" ht="18.75" x14ac:dyDescent="0.3">
      <c r="A2" s="152" t="s">
        <v>70</v>
      </c>
      <c r="B2" s="152"/>
      <c r="C2" s="152"/>
      <c r="D2" s="152"/>
      <c r="E2" s="152"/>
      <c r="F2" s="152"/>
      <c r="G2" s="152"/>
      <c r="H2" s="152"/>
      <c r="I2" s="152"/>
      <c r="J2" s="41"/>
    </row>
    <row r="3" spans="1:20" x14ac:dyDescent="0.25">
      <c r="A3" s="151" t="s">
        <v>1</v>
      </c>
      <c r="B3" s="151"/>
      <c r="C3" s="151"/>
      <c r="D3" s="151"/>
      <c r="E3" s="151"/>
      <c r="F3" s="151"/>
      <c r="G3" s="151"/>
      <c r="H3" s="151"/>
      <c r="I3" s="151"/>
      <c r="J3" s="40"/>
    </row>
    <row r="4" spans="1:20" x14ac:dyDescent="0.25">
      <c r="A4" s="153">
        <v>45107</v>
      </c>
      <c r="B4" s="153"/>
      <c r="C4" s="153"/>
      <c r="D4" s="153"/>
      <c r="E4" s="153"/>
      <c r="F4" s="153"/>
      <c r="G4" s="153"/>
      <c r="H4" s="153"/>
      <c r="I4" s="153"/>
      <c r="J4" s="42"/>
    </row>
    <row r="5" spans="1:20" x14ac:dyDescent="0.25">
      <c r="A5" s="151" t="s">
        <v>2</v>
      </c>
      <c r="B5" s="151"/>
      <c r="C5" s="151"/>
      <c r="D5" s="151"/>
      <c r="E5" s="151"/>
      <c r="F5" s="151"/>
      <c r="G5" s="151"/>
      <c r="H5" s="151"/>
      <c r="I5" s="151"/>
      <c r="J5" s="40"/>
    </row>
    <row r="6" spans="1:20" ht="15.75" thickBot="1" x14ac:dyDescent="0.3">
      <c r="A6" s="151"/>
      <c r="B6" s="151"/>
      <c r="C6" s="151"/>
      <c r="D6" s="151"/>
      <c r="E6" s="151"/>
      <c r="F6" s="151"/>
      <c r="G6" s="151"/>
      <c r="H6" s="151"/>
      <c r="I6" s="151"/>
      <c r="J6" s="40"/>
    </row>
    <row r="7" spans="1:20" s="5" customFormat="1" ht="45.75" thickBot="1" x14ac:dyDescent="0.25">
      <c r="A7" s="2" t="s">
        <v>32</v>
      </c>
      <c r="B7" s="32" t="s">
        <v>34</v>
      </c>
      <c r="C7" s="32" t="s">
        <v>33</v>
      </c>
      <c r="D7" s="32" t="s">
        <v>3</v>
      </c>
      <c r="E7" s="32" t="s">
        <v>4</v>
      </c>
      <c r="F7" s="32" t="s">
        <v>5</v>
      </c>
      <c r="G7" s="32" t="s">
        <v>6</v>
      </c>
      <c r="H7" s="32" t="s">
        <v>7</v>
      </c>
      <c r="I7" s="4" t="s">
        <v>31</v>
      </c>
      <c r="J7" s="43"/>
      <c r="L7" s="138"/>
      <c r="M7" s="138"/>
      <c r="N7" s="138"/>
      <c r="O7" s="138"/>
      <c r="P7" s="138"/>
    </row>
    <row r="8" spans="1:20" s="5" customFormat="1" x14ac:dyDescent="0.2">
      <c r="A8" s="6" t="s">
        <v>8</v>
      </c>
      <c r="B8" s="7">
        <v>428990000</v>
      </c>
      <c r="C8" s="7">
        <v>429021000</v>
      </c>
      <c r="D8" s="7">
        <v>13097464.58</v>
      </c>
      <c r="E8" s="7">
        <v>141121511.34</v>
      </c>
      <c r="F8" s="7">
        <v>0</v>
      </c>
      <c r="G8" s="7">
        <f t="shared" ref="G8:G20" si="0">SUM(E8:F8)</f>
        <v>141121511.34</v>
      </c>
      <c r="H8" s="7">
        <f t="shared" ref="H8:H11" si="1">C8-G8</f>
        <v>287899488.65999997</v>
      </c>
      <c r="I8" s="35">
        <f>IF(C8=0,"NA",H8/C8)</f>
        <v>0.6710615299950351</v>
      </c>
      <c r="J8" s="44"/>
      <c r="K8"/>
      <c r="L8" s="139"/>
      <c r="M8" s="139"/>
      <c r="N8" s="139"/>
      <c r="O8" s="139"/>
      <c r="P8" s="139"/>
    </row>
    <row r="9" spans="1:20" s="5" customFormat="1" x14ac:dyDescent="0.2">
      <c r="A9" s="6" t="s">
        <v>9</v>
      </c>
      <c r="B9" s="7">
        <v>2800000</v>
      </c>
      <c r="C9" s="7">
        <v>2800000</v>
      </c>
      <c r="D9" s="7">
        <v>1940847.05</v>
      </c>
      <c r="E9" s="7">
        <v>7963057.9300000006</v>
      </c>
      <c r="F9" s="7">
        <v>0</v>
      </c>
      <c r="G9" s="7">
        <f t="shared" si="0"/>
        <v>7963057.9300000006</v>
      </c>
      <c r="H9" s="7">
        <f t="shared" si="1"/>
        <v>-5163057.9300000006</v>
      </c>
      <c r="I9" s="35">
        <f t="shared" ref="I9:I21" si="2">IF(C9=0,"NA",H9/C9)</f>
        <v>-1.843949260714286</v>
      </c>
      <c r="J9" s="44"/>
      <c r="K9"/>
      <c r="L9" s="139"/>
      <c r="M9" s="139"/>
      <c r="N9" s="139"/>
      <c r="O9" s="139"/>
      <c r="P9" s="139"/>
    </row>
    <row r="10" spans="1:20" s="5" customFormat="1" x14ac:dyDescent="0.2">
      <c r="A10" s="6" t="s">
        <v>10</v>
      </c>
      <c r="B10" s="7">
        <v>0</v>
      </c>
      <c r="C10" s="7">
        <v>0</v>
      </c>
      <c r="D10" s="7">
        <v>55040.800000000003</v>
      </c>
      <c r="E10" s="7">
        <v>599851.4</v>
      </c>
      <c r="F10" s="7">
        <v>0</v>
      </c>
      <c r="G10" s="7">
        <f t="shared" si="0"/>
        <v>599851.4</v>
      </c>
      <c r="H10" s="7">
        <f t="shared" si="1"/>
        <v>-599851.4</v>
      </c>
      <c r="I10" s="35" t="str">
        <f t="shared" si="2"/>
        <v>NA</v>
      </c>
      <c r="J10" s="44"/>
      <c r="K10"/>
      <c r="L10" s="139"/>
      <c r="M10" s="139"/>
      <c r="N10" s="139"/>
      <c r="O10" s="139"/>
      <c r="P10" s="139"/>
    </row>
    <row r="11" spans="1:20" s="5" customFormat="1" x14ac:dyDescent="0.2">
      <c r="A11" s="6" t="s">
        <v>11</v>
      </c>
      <c r="B11" s="7">
        <v>0</v>
      </c>
      <c r="C11" s="7">
        <v>0</v>
      </c>
      <c r="D11" s="7">
        <v>9618296.5299999993</v>
      </c>
      <c r="E11" s="7">
        <v>9618296.5299999993</v>
      </c>
      <c r="F11" s="7">
        <v>0</v>
      </c>
      <c r="G11" s="7">
        <f t="shared" si="0"/>
        <v>9618296.5299999993</v>
      </c>
      <c r="H11" s="7">
        <f t="shared" si="1"/>
        <v>-9618296.5299999993</v>
      </c>
      <c r="I11" s="35" t="str">
        <f t="shared" si="2"/>
        <v>NA</v>
      </c>
      <c r="J11" s="44"/>
      <c r="K11"/>
      <c r="L11" s="139"/>
      <c r="M11" s="139"/>
      <c r="N11" s="139"/>
      <c r="O11" s="139"/>
      <c r="P11" s="139"/>
    </row>
    <row r="12" spans="1:20" s="5" customFormat="1" ht="24.95" customHeight="1" x14ac:dyDescent="0.25">
      <c r="A12" s="10" t="s">
        <v>12</v>
      </c>
      <c r="B12" s="11">
        <f>SUM(B8:B11)</f>
        <v>431790000</v>
      </c>
      <c r="C12" s="11">
        <f t="shared" ref="C12:F12" si="3">SUM(C8:C11)</f>
        <v>431821000</v>
      </c>
      <c r="D12" s="11">
        <f t="shared" si="3"/>
        <v>24711648.960000001</v>
      </c>
      <c r="E12" s="11">
        <f t="shared" si="3"/>
        <v>159302717.20000002</v>
      </c>
      <c r="F12" s="11">
        <f t="shared" si="3"/>
        <v>0</v>
      </c>
      <c r="G12" s="11">
        <f t="shared" ref="G12:H12" si="4">SUM(G8:G11)</f>
        <v>159302717.20000002</v>
      </c>
      <c r="H12" s="11">
        <f t="shared" si="4"/>
        <v>272518282.80000001</v>
      </c>
      <c r="I12" s="36">
        <f t="shared" si="2"/>
        <v>0.63109085199654491</v>
      </c>
      <c r="L12" s="1"/>
      <c r="M12" s="1"/>
      <c r="N12" s="1"/>
      <c r="O12" s="1"/>
      <c r="P12" s="1"/>
      <c r="Q12" s="1"/>
      <c r="R12" s="1"/>
      <c r="S12" s="1"/>
    </row>
    <row r="13" spans="1:20" s="5" customFormat="1" x14ac:dyDescent="0.2">
      <c r="A13" s="12" t="s">
        <v>13</v>
      </c>
      <c r="B13" s="13">
        <v>5000</v>
      </c>
      <c r="C13" s="13">
        <v>5500</v>
      </c>
      <c r="D13" s="13">
        <v>94548.01</v>
      </c>
      <c r="E13" s="13">
        <v>2053918.57</v>
      </c>
      <c r="F13" s="13">
        <v>1800428.65</v>
      </c>
      <c r="G13" s="7">
        <f t="shared" si="0"/>
        <v>3854347.2199999997</v>
      </c>
      <c r="H13" s="7">
        <f t="shared" ref="H13:H20" si="5">C13-G13</f>
        <v>-3848847.2199999997</v>
      </c>
      <c r="I13" s="39">
        <f t="shared" si="2"/>
        <v>-699.79040363636364</v>
      </c>
      <c r="J13" s="44"/>
      <c r="L13" s="138"/>
      <c r="M13" s="138"/>
      <c r="N13" s="138"/>
      <c r="O13" s="138"/>
      <c r="P13" s="138"/>
    </row>
    <row r="14" spans="1:20" s="5" customFormat="1" x14ac:dyDescent="0.25">
      <c r="A14" s="6" t="s">
        <v>14</v>
      </c>
      <c r="B14" s="7">
        <v>0</v>
      </c>
      <c r="C14" s="7">
        <v>10500</v>
      </c>
      <c r="D14" s="7">
        <v>0</v>
      </c>
      <c r="E14" s="7">
        <v>2110.46</v>
      </c>
      <c r="F14" s="7">
        <v>0</v>
      </c>
      <c r="G14" s="7">
        <f t="shared" si="0"/>
        <v>2110.46</v>
      </c>
      <c r="H14" s="7">
        <f t="shared" si="5"/>
        <v>8389.5400000000009</v>
      </c>
      <c r="I14" s="39">
        <f t="shared" ref="I14" si="6">IF(C14=0,"NA",H14/C14)</f>
        <v>0.79900380952380956</v>
      </c>
      <c r="J14" s="44"/>
      <c r="K14" s="1"/>
      <c r="L14" s="137"/>
      <c r="M14" s="137"/>
      <c r="N14" s="137"/>
      <c r="O14" s="137"/>
      <c r="P14" s="137"/>
      <c r="Q14" s="1"/>
      <c r="R14" s="1"/>
      <c r="S14" s="1"/>
    </row>
    <row r="15" spans="1:20" s="5" customFormat="1" x14ac:dyDescent="0.25">
      <c r="A15" s="6" t="s">
        <v>76</v>
      </c>
      <c r="B15" s="7">
        <v>10045882.43</v>
      </c>
      <c r="C15" s="7">
        <v>11202279.060000001</v>
      </c>
      <c r="D15" s="7">
        <v>173600.05999999997</v>
      </c>
      <c r="E15" s="7">
        <v>1771963.26</v>
      </c>
      <c r="F15" s="7">
        <v>82468.489999999991</v>
      </c>
      <c r="G15" s="7">
        <f t="shared" si="0"/>
        <v>1854431.75</v>
      </c>
      <c r="H15" s="7">
        <f t="shared" si="5"/>
        <v>9347847.3100000005</v>
      </c>
      <c r="I15" s="39">
        <f t="shared" ref="I15" si="7">IF(C15=0,"NA",H15/C15)</f>
        <v>0.83445942204549939</v>
      </c>
      <c r="J15" s="44"/>
      <c r="K15" s="1"/>
      <c r="L15" s="137"/>
      <c r="M15" s="137"/>
      <c r="N15" s="137"/>
      <c r="O15" s="137"/>
      <c r="P15" s="137"/>
      <c r="Q15" s="1"/>
      <c r="R15" s="1"/>
      <c r="S15" s="1"/>
      <c r="T15" s="1"/>
    </row>
    <row r="16" spans="1:20" s="5" customFormat="1" x14ac:dyDescent="0.25">
      <c r="A16" s="6" t="s">
        <v>21</v>
      </c>
      <c r="B16" s="7">
        <v>1000000</v>
      </c>
      <c r="C16" s="7">
        <v>1000000</v>
      </c>
      <c r="D16" s="7">
        <v>0</v>
      </c>
      <c r="E16" s="7">
        <v>773700</v>
      </c>
      <c r="F16" s="7">
        <v>0</v>
      </c>
      <c r="G16" s="7">
        <f t="shared" si="0"/>
        <v>773700</v>
      </c>
      <c r="H16" s="7">
        <f t="shared" si="5"/>
        <v>226300</v>
      </c>
      <c r="I16" s="39">
        <f t="shared" ref="I16" si="8">IF(C16=0,"NA",H16/C16)</f>
        <v>0.2263</v>
      </c>
      <c r="J16" s="44"/>
      <c r="K16" s="1"/>
      <c r="L16" s="137"/>
      <c r="M16" s="137"/>
      <c r="N16" s="137"/>
      <c r="O16" s="137"/>
      <c r="P16" s="137"/>
      <c r="Q16" s="1"/>
      <c r="R16" s="1"/>
      <c r="S16" s="1"/>
      <c r="T16" s="1"/>
    </row>
    <row r="17" spans="1:21" s="5" customFormat="1" x14ac:dyDescent="0.25">
      <c r="A17" s="6" t="s">
        <v>22</v>
      </c>
      <c r="B17" s="7">
        <v>18000000</v>
      </c>
      <c r="C17" s="7">
        <v>18000000</v>
      </c>
      <c r="D17" s="7">
        <v>253094.53</v>
      </c>
      <c r="E17" s="7">
        <v>2024756.24</v>
      </c>
      <c r="F17" s="7">
        <v>13160915.4</v>
      </c>
      <c r="G17" s="7">
        <f t="shared" si="0"/>
        <v>15185671.640000001</v>
      </c>
      <c r="H17" s="7">
        <f t="shared" si="5"/>
        <v>2814328.3599999994</v>
      </c>
      <c r="I17" s="39"/>
      <c r="J17" s="44"/>
      <c r="K17" s="1"/>
      <c r="L17" s="137"/>
      <c r="M17" s="137"/>
      <c r="N17" s="137"/>
      <c r="O17" s="137"/>
      <c r="P17" s="137"/>
      <c r="Q17" s="1"/>
      <c r="R17" s="1"/>
      <c r="S17" s="1"/>
    </row>
    <row r="18" spans="1:21" s="5" customFormat="1" x14ac:dyDescent="0.25">
      <c r="A18" s="6" t="s">
        <v>79</v>
      </c>
      <c r="B18" s="7">
        <v>729323049.63999987</v>
      </c>
      <c r="C18" s="7">
        <v>453723966.15999991</v>
      </c>
      <c r="D18" s="7">
        <v>3015748.75</v>
      </c>
      <c r="E18" s="7">
        <v>26421570.380000003</v>
      </c>
      <c r="F18" s="7">
        <v>57667401.540000007</v>
      </c>
      <c r="G18" s="7">
        <f t="shared" si="0"/>
        <v>84088971.920000017</v>
      </c>
      <c r="H18" s="7">
        <f t="shared" si="5"/>
        <v>369634994.23999989</v>
      </c>
      <c r="I18" s="39">
        <f t="shared" si="2"/>
        <v>0.81466931837066081</v>
      </c>
      <c r="J18" s="44"/>
      <c r="K18" s="1"/>
      <c r="L18" s="137"/>
      <c r="M18" s="137"/>
      <c r="N18" s="137"/>
      <c r="O18" s="137"/>
      <c r="P18" s="137"/>
      <c r="Q18" s="1"/>
      <c r="R18" s="1"/>
      <c r="S18" s="1"/>
      <c r="T18" s="1"/>
    </row>
    <row r="19" spans="1:21" s="5" customFormat="1" x14ac:dyDescent="0.25">
      <c r="A19" s="6" t="s">
        <v>25</v>
      </c>
      <c r="B19" s="7">
        <v>83403442</v>
      </c>
      <c r="C19" s="7">
        <v>83403442</v>
      </c>
      <c r="D19" s="7">
        <v>9618296.5299999993</v>
      </c>
      <c r="E19" s="7">
        <v>29477696.530000001</v>
      </c>
      <c r="F19" s="7">
        <v>0</v>
      </c>
      <c r="G19" s="7">
        <f t="shared" si="0"/>
        <v>29477696.530000001</v>
      </c>
      <c r="H19" s="7">
        <f t="shared" si="5"/>
        <v>53925745.469999999</v>
      </c>
      <c r="I19" s="39">
        <f t="shared" si="2"/>
        <v>0.64656498792939499</v>
      </c>
      <c r="J19" s="45"/>
      <c r="K19" s="1"/>
      <c r="L19" s="137"/>
      <c r="M19" s="137"/>
      <c r="N19" s="137"/>
      <c r="O19" s="137"/>
      <c r="P19" s="137"/>
      <c r="Q19" s="1"/>
      <c r="R19" s="1"/>
      <c r="S19" s="1"/>
      <c r="T19" s="1"/>
      <c r="U19" s="1"/>
    </row>
    <row r="20" spans="1:21" s="5" customFormat="1" x14ac:dyDescent="0.25">
      <c r="A20" s="6" t="s">
        <v>24</v>
      </c>
      <c r="B20" s="7">
        <v>5572080</v>
      </c>
      <c r="C20" s="7">
        <v>5572080</v>
      </c>
      <c r="D20" s="7">
        <v>0</v>
      </c>
      <c r="E20" s="7">
        <v>9421256.5500000007</v>
      </c>
      <c r="F20" s="7">
        <v>0</v>
      </c>
      <c r="G20" s="7">
        <f t="shared" si="0"/>
        <v>9421256.5500000007</v>
      </c>
      <c r="H20" s="7">
        <f t="shared" si="5"/>
        <v>-3849176.5500000007</v>
      </c>
      <c r="I20" s="39">
        <f t="shared" si="2"/>
        <v>-0.69079707218848274</v>
      </c>
      <c r="J20" s="44"/>
      <c r="K20" s="1"/>
      <c r="L20" s="137"/>
      <c r="M20" s="137"/>
      <c r="N20" s="137"/>
      <c r="O20" s="137"/>
      <c r="P20" s="137"/>
      <c r="Q20" s="1"/>
      <c r="R20" s="1"/>
      <c r="S20" s="1"/>
      <c r="T20" s="1"/>
      <c r="U20" s="1"/>
    </row>
    <row r="21" spans="1:21" s="5" customFormat="1" ht="24.95" customHeight="1" x14ac:dyDescent="0.25">
      <c r="A21" s="10" t="s">
        <v>26</v>
      </c>
      <c r="B21" s="11">
        <f t="shared" ref="B21:H21" si="9">SUM(B13:B20)</f>
        <v>847349454.06999981</v>
      </c>
      <c r="C21" s="11">
        <f t="shared" si="9"/>
        <v>572917767.21999991</v>
      </c>
      <c r="D21" s="11">
        <f t="shared" si="9"/>
        <v>13155287.879999999</v>
      </c>
      <c r="E21" s="11">
        <f t="shared" si="9"/>
        <v>71946971.99000001</v>
      </c>
      <c r="F21" s="11">
        <f t="shared" si="9"/>
        <v>72711214.080000013</v>
      </c>
      <c r="G21" s="11">
        <f t="shared" si="9"/>
        <v>144658186.07000002</v>
      </c>
      <c r="H21" s="11">
        <f t="shared" si="9"/>
        <v>428259581.14999992</v>
      </c>
      <c r="I21" s="36">
        <f t="shared" si="2"/>
        <v>0.74750619661887463</v>
      </c>
      <c r="K21" s="1"/>
      <c r="L21" s="137"/>
      <c r="M21" s="137"/>
      <c r="N21" s="137"/>
      <c r="O21" s="137"/>
      <c r="P21" s="137"/>
      <c r="Q21" s="1"/>
      <c r="R21" s="1"/>
      <c r="S21" s="1"/>
      <c r="T21" s="1"/>
      <c r="U21" s="1"/>
    </row>
    <row r="22" spans="1:21" s="5" customFormat="1" ht="24.95" customHeight="1" x14ac:dyDescent="0.25">
      <c r="A22" s="12"/>
      <c r="B22" s="13"/>
      <c r="C22" s="13"/>
      <c r="D22" s="13"/>
      <c r="E22" s="13"/>
      <c r="F22" s="13"/>
      <c r="G22" s="13"/>
      <c r="H22" s="13"/>
      <c r="I22" s="15"/>
      <c r="J22" s="46"/>
      <c r="K22" s="1"/>
      <c r="L22" s="137"/>
      <c r="M22" s="137"/>
      <c r="N22" s="137"/>
      <c r="O22" s="137"/>
      <c r="P22" s="137"/>
      <c r="Q22" s="1"/>
      <c r="R22" s="1"/>
      <c r="S22" s="1"/>
      <c r="T22" s="1"/>
      <c r="U22" s="1"/>
    </row>
    <row r="23" spans="1:21" s="5" customFormat="1" ht="24.95" customHeight="1" x14ac:dyDescent="0.25">
      <c r="A23" s="6" t="s">
        <v>27</v>
      </c>
      <c r="B23" s="7">
        <f>B12-B21</f>
        <v>-415559454.06999981</v>
      </c>
      <c r="C23" s="7">
        <f>C12-C21</f>
        <v>-141096767.21999991</v>
      </c>
      <c r="D23" s="7">
        <f>D12-D21</f>
        <v>11556361.080000002</v>
      </c>
      <c r="E23" s="7">
        <f>E12-E21</f>
        <v>87355745.210000008</v>
      </c>
      <c r="F23" s="7"/>
      <c r="G23" s="7">
        <f>G12-G21</f>
        <v>14644531.129999995</v>
      </c>
      <c r="H23" s="7">
        <f>H12-H21</f>
        <v>-155741298.3499999</v>
      </c>
      <c r="I23" s="16"/>
      <c r="J23" s="47"/>
      <c r="K23" s="1"/>
      <c r="L23" s="137"/>
      <c r="M23" s="137"/>
      <c r="N23" s="137"/>
      <c r="O23" s="137"/>
      <c r="P23" s="137"/>
      <c r="Q23" s="1"/>
      <c r="R23" s="1"/>
      <c r="S23" s="1"/>
      <c r="T23" s="1"/>
      <c r="U23" s="1"/>
    </row>
    <row r="24" spans="1:21" s="5" customFormat="1" x14ac:dyDescent="0.25">
      <c r="A24" s="8"/>
      <c r="B24" s="9"/>
      <c r="C24" s="9"/>
      <c r="D24" s="9"/>
      <c r="E24" s="9"/>
      <c r="F24" s="9"/>
      <c r="G24" s="9"/>
      <c r="H24" s="9"/>
      <c r="I24" s="17"/>
      <c r="J24" s="47"/>
      <c r="K24" s="1"/>
      <c r="L24" s="137"/>
      <c r="M24" s="137"/>
      <c r="N24" s="137"/>
      <c r="O24" s="137"/>
      <c r="P24" s="137"/>
      <c r="Q24" s="1"/>
      <c r="R24" s="1"/>
      <c r="S24" s="1"/>
      <c r="T24" s="1"/>
      <c r="U24" s="1"/>
    </row>
    <row r="25" spans="1:21" x14ac:dyDescent="0.25">
      <c r="A25" s="18" t="s">
        <v>73</v>
      </c>
      <c r="B25" s="20"/>
      <c r="C25" s="20"/>
      <c r="D25" s="20"/>
      <c r="E25" s="20">
        <v>364500000</v>
      </c>
      <c r="F25" s="20"/>
      <c r="G25" s="20">
        <f>E25</f>
        <v>364500000</v>
      </c>
      <c r="H25" s="20"/>
      <c r="I25" s="21"/>
      <c r="J25" s="46"/>
    </row>
    <row r="26" spans="1:21" ht="15.75" thickBot="1" x14ac:dyDescent="0.3">
      <c r="A26" s="22" t="s">
        <v>28</v>
      </c>
      <c r="B26" s="24"/>
      <c r="C26" s="24"/>
      <c r="D26" s="24"/>
      <c r="E26" s="24">
        <f>SUM(E23:E25)</f>
        <v>451855745.21000004</v>
      </c>
      <c r="F26" s="24"/>
      <c r="G26" s="24">
        <f>SUM(G23:G25)</f>
        <v>379144531.13</v>
      </c>
      <c r="H26" s="24"/>
      <c r="I26" s="25"/>
    </row>
    <row r="27" spans="1:21" x14ac:dyDescent="0.25">
      <c r="A27" s="5"/>
      <c r="B27" s="33"/>
      <c r="C27" s="33"/>
      <c r="D27" s="33"/>
      <c r="E27" s="33"/>
      <c r="F27" s="33"/>
      <c r="G27" s="33"/>
      <c r="H27" s="33"/>
      <c r="I27" s="5"/>
    </row>
    <row r="28" spans="1:21" x14ac:dyDescent="0.25">
      <c r="G28" s="1"/>
      <c r="H28" s="48"/>
      <c r="J28" s="137"/>
      <c r="K28" s="137"/>
      <c r="O28" s="1"/>
      <c r="P28" s="1"/>
    </row>
    <row r="29" spans="1:21" x14ac:dyDescent="0.25">
      <c r="B29" s="150"/>
      <c r="C29" s="137"/>
      <c r="D29" s="137"/>
      <c r="E29" s="137"/>
      <c r="F29" s="137"/>
      <c r="G29" s="137"/>
      <c r="H29" s="137"/>
      <c r="J29" s="137"/>
      <c r="K29" s="137"/>
      <c r="O29" s="1"/>
      <c r="P29" s="1"/>
    </row>
    <row r="30" spans="1:21" x14ac:dyDescent="0.25">
      <c r="B30" s="137"/>
      <c r="C30" s="137"/>
      <c r="D30" s="150"/>
      <c r="E30" s="137"/>
      <c r="F30" s="137"/>
      <c r="G30" s="137"/>
      <c r="H30" s="137"/>
      <c r="J30" s="137"/>
    </row>
    <row r="31" spans="1:21" x14ac:dyDescent="0.25">
      <c r="B31" s="137"/>
      <c r="C31" s="137"/>
      <c r="D31" s="137"/>
      <c r="E31" s="137"/>
      <c r="F31" s="137"/>
      <c r="G31" s="137"/>
      <c r="H31" s="137"/>
      <c r="I31" s="137"/>
      <c r="J31" s="137"/>
    </row>
    <row r="32" spans="1:21" x14ac:dyDescent="0.25">
      <c r="B32" s="137"/>
      <c r="C32" s="137"/>
      <c r="D32" s="137"/>
      <c r="E32" s="137"/>
      <c r="F32" s="137"/>
      <c r="G32" s="137"/>
      <c r="H32" s="137"/>
      <c r="I32" s="137"/>
      <c r="J32" s="137"/>
    </row>
    <row r="33" spans="2:10" x14ac:dyDescent="0.25">
      <c r="B33" s="137"/>
      <c r="C33" s="137"/>
      <c r="D33" s="150"/>
      <c r="E33" s="137"/>
      <c r="F33" s="137"/>
      <c r="G33" s="137"/>
      <c r="H33" s="137"/>
      <c r="J33" s="137"/>
    </row>
    <row r="34" spans="2:10" x14ac:dyDescent="0.25">
      <c r="B34" s="137"/>
      <c r="C34" s="137"/>
      <c r="D34" s="137"/>
      <c r="E34" s="137"/>
      <c r="F34" s="137"/>
      <c r="J34" s="137"/>
    </row>
    <row r="35" spans="2:10" x14ac:dyDescent="0.25">
      <c r="B35" s="137"/>
      <c r="C35" s="137"/>
      <c r="D35" s="137"/>
      <c r="E35" s="137"/>
      <c r="F35" s="137"/>
      <c r="J35" s="137"/>
    </row>
    <row r="36" spans="2:10" x14ac:dyDescent="0.25">
      <c r="B36" s="137"/>
      <c r="C36" s="137"/>
      <c r="D36" s="137"/>
      <c r="E36" s="137"/>
      <c r="F36" s="137"/>
      <c r="J36" s="137"/>
    </row>
    <row r="37" spans="2:10" x14ac:dyDescent="0.25">
      <c r="B37" s="137"/>
      <c r="C37" s="137"/>
      <c r="D37" s="137"/>
      <c r="E37" s="137"/>
      <c r="F37" s="137"/>
      <c r="J37" s="137"/>
    </row>
    <row r="38" spans="2:10" x14ac:dyDescent="0.25">
      <c r="B38" s="137"/>
      <c r="C38" s="137"/>
      <c r="D38" s="137"/>
      <c r="E38" s="137"/>
      <c r="F38" s="137"/>
      <c r="J38" s="137"/>
    </row>
    <row r="39" spans="2:10" x14ac:dyDescent="0.25">
      <c r="B39" s="137"/>
      <c r="C39" s="137"/>
      <c r="D39" s="137"/>
      <c r="E39" s="137"/>
      <c r="F39" s="137"/>
      <c r="J39" s="137"/>
    </row>
    <row r="40" spans="2:10" x14ac:dyDescent="0.25">
      <c r="I40" s="30"/>
    </row>
    <row r="41" spans="2:10" x14ac:dyDescent="0.25">
      <c r="I41" s="30"/>
    </row>
    <row r="42" spans="2:10" x14ac:dyDescent="0.25">
      <c r="I42" s="30"/>
    </row>
    <row r="43" spans="2:10" x14ac:dyDescent="0.25">
      <c r="I43" s="30"/>
    </row>
    <row r="44" spans="2:10" x14ac:dyDescent="0.25">
      <c r="I44" s="30"/>
    </row>
    <row r="45" spans="2:10" x14ac:dyDescent="0.25">
      <c r="I45" s="30"/>
    </row>
    <row r="46" spans="2:10" x14ac:dyDescent="0.25">
      <c r="I46" s="30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0"/>
  <sheetViews>
    <sheetView workbookViewId="0">
      <selection sqref="A1:I1"/>
    </sheetView>
  </sheetViews>
  <sheetFormatPr defaultRowHeight="15" x14ac:dyDescent="0.25"/>
  <cols>
    <col min="1" max="1" width="49.7109375" style="1" bestFit="1" customWidth="1"/>
    <col min="2" max="3" width="15" style="30" bestFit="1" customWidth="1"/>
    <col min="4" max="5" width="13.28515625" style="30" bestFit="1" customWidth="1"/>
    <col min="6" max="6" width="16.85546875" style="30" customWidth="1"/>
    <col min="7" max="7" width="13.5703125" style="30" bestFit="1" customWidth="1"/>
    <col min="8" max="8" width="13.28515625" style="30" bestFit="1" customWidth="1"/>
    <col min="9" max="9" width="15.140625" style="1" customWidth="1"/>
    <col min="10" max="10" width="2.5703125" style="1" customWidth="1"/>
    <col min="11" max="11" width="5" style="1" bestFit="1" customWidth="1"/>
    <col min="12" max="12" width="30" style="1" bestFit="1" customWidth="1"/>
    <col min="13" max="14" width="13.5703125" style="1" bestFit="1" customWidth="1"/>
    <col min="15" max="15" width="12.42578125" style="1" bestFit="1" customWidth="1"/>
    <col min="16" max="17" width="13.5703125" style="1" bestFit="1" customWidth="1"/>
    <col min="18" max="16384" width="9.140625" style="1"/>
  </cols>
  <sheetData>
    <row r="1" spans="1:19" x14ac:dyDescent="0.25">
      <c r="A1" s="151" t="s">
        <v>0</v>
      </c>
      <c r="B1" s="151"/>
      <c r="C1" s="151"/>
      <c r="D1" s="151"/>
      <c r="E1" s="151"/>
      <c r="F1" s="151"/>
      <c r="G1" s="151"/>
      <c r="H1" s="151"/>
      <c r="I1" s="151"/>
    </row>
    <row r="2" spans="1:19" ht="18.75" x14ac:dyDescent="0.3">
      <c r="A2" s="152" t="s">
        <v>71</v>
      </c>
      <c r="B2" s="152"/>
      <c r="C2" s="152"/>
      <c r="D2" s="152"/>
      <c r="E2" s="152"/>
      <c r="F2" s="152"/>
      <c r="G2" s="152"/>
      <c r="H2" s="152"/>
      <c r="I2" s="152"/>
    </row>
    <row r="3" spans="1:19" x14ac:dyDescent="0.25">
      <c r="A3" s="151" t="s">
        <v>1</v>
      </c>
      <c r="B3" s="151"/>
      <c r="C3" s="151"/>
      <c r="D3" s="151"/>
      <c r="E3" s="151"/>
      <c r="F3" s="151"/>
      <c r="G3" s="151"/>
      <c r="H3" s="151"/>
      <c r="I3" s="151"/>
    </row>
    <row r="4" spans="1:19" x14ac:dyDescent="0.25">
      <c r="A4" s="153">
        <v>45107</v>
      </c>
      <c r="B4" s="153"/>
      <c r="C4" s="153"/>
      <c r="D4" s="153"/>
      <c r="E4" s="153"/>
      <c r="F4" s="153"/>
      <c r="G4" s="153"/>
      <c r="H4" s="153"/>
      <c r="I4" s="153"/>
    </row>
    <row r="5" spans="1:19" x14ac:dyDescent="0.25">
      <c r="A5" s="151" t="s">
        <v>2</v>
      </c>
      <c r="B5" s="151"/>
      <c r="C5" s="151"/>
      <c r="D5" s="151"/>
      <c r="E5" s="151"/>
      <c r="F5" s="151"/>
      <c r="G5" s="151"/>
      <c r="H5" s="151"/>
      <c r="I5" s="151"/>
    </row>
    <row r="6" spans="1:19" ht="15.75" thickBot="1" x14ac:dyDescent="0.3">
      <c r="A6" s="151"/>
      <c r="B6" s="151"/>
      <c r="C6" s="151"/>
      <c r="D6" s="151"/>
      <c r="E6" s="151"/>
      <c r="F6" s="151"/>
      <c r="G6" s="151"/>
      <c r="H6" s="151"/>
      <c r="I6" s="151"/>
    </row>
    <row r="7" spans="1:19" s="5" customFormat="1" ht="45.75" thickBot="1" x14ac:dyDescent="0.25">
      <c r="A7" s="2" t="s">
        <v>32</v>
      </c>
      <c r="B7" s="32" t="s">
        <v>34</v>
      </c>
      <c r="C7" s="32" t="s">
        <v>33</v>
      </c>
      <c r="D7" s="32" t="s">
        <v>3</v>
      </c>
      <c r="E7" s="32" t="s">
        <v>4</v>
      </c>
      <c r="F7" s="32" t="s">
        <v>5</v>
      </c>
      <c r="G7" s="32" t="s">
        <v>6</v>
      </c>
      <c r="H7" s="32" t="s">
        <v>7</v>
      </c>
      <c r="I7" s="4" t="s">
        <v>31</v>
      </c>
      <c r="M7" s="138"/>
      <c r="N7" s="138"/>
      <c r="O7" s="138"/>
      <c r="P7" s="138"/>
      <c r="Q7" s="138"/>
      <c r="R7" s="138"/>
    </row>
    <row r="8" spans="1:19" s="5" customFormat="1" x14ac:dyDescent="0.2">
      <c r="A8" s="6" t="s">
        <v>8</v>
      </c>
      <c r="B8" s="7">
        <v>11694445.880000001</v>
      </c>
      <c r="C8" s="7">
        <v>11694445.880000001</v>
      </c>
      <c r="D8" s="7">
        <v>890.59000000000015</v>
      </c>
      <c r="E8" s="7">
        <v>2880266.8600000017</v>
      </c>
      <c r="F8" s="7">
        <v>0</v>
      </c>
      <c r="G8" s="7">
        <f t="shared" ref="G8:G17" si="0">SUM(E8:F8)</f>
        <v>2880266.8600000017</v>
      </c>
      <c r="H8" s="7">
        <f t="shared" ref="H8:H12" si="1">C8-G8</f>
        <v>8814179.0199999996</v>
      </c>
      <c r="I8" s="39">
        <f>IF(C8=0,"NA",H8/C8)</f>
        <v>0.75370642700344848</v>
      </c>
      <c r="M8" s="138"/>
      <c r="N8" s="138"/>
      <c r="O8" s="138"/>
      <c r="P8" s="138"/>
      <c r="Q8" s="138"/>
      <c r="R8" s="138"/>
    </row>
    <row r="9" spans="1:19" s="5" customFormat="1" x14ac:dyDescent="0.2">
      <c r="A9" s="6" t="s">
        <v>9</v>
      </c>
      <c r="B9" s="7">
        <v>0</v>
      </c>
      <c r="C9" s="7">
        <v>0</v>
      </c>
      <c r="D9" s="7">
        <v>21317.82</v>
      </c>
      <c r="E9" s="7">
        <v>184779.55</v>
      </c>
      <c r="F9" s="7">
        <v>0</v>
      </c>
      <c r="G9" s="7">
        <f t="shared" si="0"/>
        <v>184779.55</v>
      </c>
      <c r="H9" s="7">
        <f t="shared" si="1"/>
        <v>-184779.55</v>
      </c>
      <c r="I9" s="39" t="str">
        <f t="shared" ref="I9:I18" si="2">IF(C9=0,"NA",H9/C9)</f>
        <v>NA</v>
      </c>
      <c r="M9" s="138"/>
      <c r="N9" s="138"/>
      <c r="O9" s="138"/>
      <c r="P9" s="138"/>
      <c r="Q9" s="138"/>
      <c r="R9" s="138"/>
    </row>
    <row r="10" spans="1:19" s="5" customFormat="1" x14ac:dyDescent="0.2">
      <c r="A10" s="6" t="s">
        <v>10</v>
      </c>
      <c r="B10" s="7">
        <v>1214494</v>
      </c>
      <c r="C10" s="7">
        <v>1214494</v>
      </c>
      <c r="D10" s="7">
        <v>60628.00000000008</v>
      </c>
      <c r="E10" s="7">
        <v>929619.99999999977</v>
      </c>
      <c r="F10" s="7">
        <v>0</v>
      </c>
      <c r="G10" s="7">
        <f t="shared" si="0"/>
        <v>929619.99999999977</v>
      </c>
      <c r="H10" s="7">
        <f t="shared" si="1"/>
        <v>284874.00000000023</v>
      </c>
      <c r="I10" s="39">
        <f t="shared" si="2"/>
        <v>0.23456188338517953</v>
      </c>
      <c r="M10" s="138"/>
      <c r="N10" s="138"/>
      <c r="O10" s="138"/>
      <c r="P10" s="138"/>
      <c r="Q10" s="138"/>
      <c r="R10" s="138"/>
    </row>
    <row r="11" spans="1:19" s="5" customFormat="1" x14ac:dyDescent="0.2">
      <c r="A11" s="6" t="s">
        <v>80</v>
      </c>
      <c r="B11" s="7">
        <v>53391815.120000005</v>
      </c>
      <c r="C11" s="7">
        <v>53391815.120000005</v>
      </c>
      <c r="D11" s="7">
        <v>410458.00999999983</v>
      </c>
      <c r="E11" s="7">
        <v>59971354.419999994</v>
      </c>
      <c r="F11" s="7">
        <v>0</v>
      </c>
      <c r="G11" s="7">
        <f t="shared" si="0"/>
        <v>59971354.419999994</v>
      </c>
      <c r="H11" s="7">
        <f t="shared" si="1"/>
        <v>-6579539.2999999896</v>
      </c>
      <c r="I11" s="39">
        <f t="shared" si="2"/>
        <v>-0.12323123469790717</v>
      </c>
      <c r="M11" s="138"/>
      <c r="N11" s="138"/>
      <c r="O11" s="138"/>
      <c r="P11" s="138"/>
      <c r="Q11" s="138"/>
      <c r="R11" s="138"/>
    </row>
    <row r="12" spans="1:19" s="5" customFormat="1" x14ac:dyDescent="0.2">
      <c r="A12" s="8" t="s">
        <v>11</v>
      </c>
      <c r="B12" s="7">
        <v>2800000</v>
      </c>
      <c r="C12" s="7">
        <v>2800000</v>
      </c>
      <c r="D12" s="7">
        <v>0</v>
      </c>
      <c r="E12" s="7">
        <v>0</v>
      </c>
      <c r="F12" s="7">
        <v>0</v>
      </c>
      <c r="G12" s="7">
        <f t="shared" si="0"/>
        <v>0</v>
      </c>
      <c r="H12" s="7">
        <f t="shared" si="1"/>
        <v>2800000</v>
      </c>
      <c r="I12" s="39">
        <f t="shared" si="2"/>
        <v>1</v>
      </c>
      <c r="M12" s="138"/>
      <c r="N12" s="138"/>
      <c r="O12" s="138"/>
      <c r="P12" s="138"/>
      <c r="Q12" s="138"/>
      <c r="R12" s="138"/>
    </row>
    <row r="13" spans="1:19" s="5" customFormat="1" ht="24.95" customHeight="1" x14ac:dyDescent="0.25">
      <c r="A13" s="10" t="s">
        <v>12</v>
      </c>
      <c r="B13" s="11">
        <f>SUM(B8:B12)</f>
        <v>69100755</v>
      </c>
      <c r="C13" s="11">
        <f t="shared" ref="C13:H13" si="3">SUM(C8:C12)</f>
        <v>69100755</v>
      </c>
      <c r="D13" s="11">
        <f t="shared" si="3"/>
        <v>493294.41999999993</v>
      </c>
      <c r="E13" s="11">
        <f t="shared" si="3"/>
        <v>63966020.829999998</v>
      </c>
      <c r="F13" s="11">
        <f t="shared" si="3"/>
        <v>0</v>
      </c>
      <c r="G13" s="11">
        <f t="shared" si="3"/>
        <v>63966020.829999998</v>
      </c>
      <c r="H13" s="11">
        <f t="shared" si="3"/>
        <v>5134734.1700000092</v>
      </c>
      <c r="I13" s="36">
        <f t="shared" si="2"/>
        <v>7.4307931512470587E-2</v>
      </c>
      <c r="L13" s="1"/>
      <c r="M13" s="1"/>
      <c r="N13" s="1"/>
      <c r="O13" s="1"/>
      <c r="P13" s="1"/>
      <c r="Q13" s="1"/>
      <c r="R13" s="1"/>
      <c r="S13" s="1"/>
    </row>
    <row r="14" spans="1:19" s="5" customFormat="1" x14ac:dyDescent="0.2">
      <c r="A14" s="6" t="s">
        <v>18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f t="shared" si="0"/>
        <v>0</v>
      </c>
      <c r="H14" s="7">
        <f t="shared" ref="H14:H17" si="4">C14-G14</f>
        <v>0</v>
      </c>
      <c r="I14" s="39" t="str">
        <f t="shared" si="2"/>
        <v>NA</v>
      </c>
      <c r="M14" s="138"/>
      <c r="N14" s="138"/>
      <c r="O14" s="138"/>
      <c r="P14" s="138"/>
      <c r="Q14" s="138"/>
      <c r="R14" s="138"/>
    </row>
    <row r="15" spans="1:19" s="5" customFormat="1" x14ac:dyDescent="0.2">
      <c r="A15" s="6" t="s">
        <v>20</v>
      </c>
      <c r="B15" s="7">
        <v>66790</v>
      </c>
      <c r="C15" s="7">
        <v>0</v>
      </c>
      <c r="D15" s="7">
        <v>0</v>
      </c>
      <c r="E15" s="7">
        <v>0</v>
      </c>
      <c r="F15" s="7">
        <v>0</v>
      </c>
      <c r="G15" s="7">
        <f t="shared" si="0"/>
        <v>0</v>
      </c>
      <c r="H15" s="7">
        <f t="shared" si="4"/>
        <v>0</v>
      </c>
      <c r="I15" s="39" t="str">
        <f t="shared" si="2"/>
        <v>NA</v>
      </c>
      <c r="M15" s="138"/>
      <c r="N15" s="138"/>
      <c r="O15" s="138"/>
      <c r="P15" s="138"/>
      <c r="Q15" s="138"/>
      <c r="R15" s="138"/>
    </row>
    <row r="16" spans="1:19" s="5" customFormat="1" x14ac:dyDescent="0.25">
      <c r="A16" s="6" t="s">
        <v>29</v>
      </c>
      <c r="B16" s="7">
        <v>68718996.969999984</v>
      </c>
      <c r="C16" s="7">
        <v>68620215.969999969</v>
      </c>
      <c r="D16" s="7">
        <v>5986608.0500000007</v>
      </c>
      <c r="E16" s="7">
        <v>57628260.830000013</v>
      </c>
      <c r="F16" s="7">
        <v>1488294.5299999998</v>
      </c>
      <c r="G16" s="7">
        <f t="shared" si="0"/>
        <v>59116555.360000014</v>
      </c>
      <c r="H16" s="7">
        <f t="shared" si="4"/>
        <v>9503660.6099999547</v>
      </c>
      <c r="I16" s="39">
        <f t="shared" si="2"/>
        <v>0.1384965126626074</v>
      </c>
      <c r="L16" s="1"/>
      <c r="M16" s="1"/>
      <c r="N16" s="1"/>
      <c r="O16" s="1"/>
      <c r="P16" s="1"/>
      <c r="Q16" s="1"/>
      <c r="R16" s="1"/>
      <c r="S16" s="1"/>
    </row>
    <row r="17" spans="1:20" s="5" customFormat="1" x14ac:dyDescent="0.25">
      <c r="A17" s="6" t="s">
        <v>25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f t="shared" si="0"/>
        <v>0</v>
      </c>
      <c r="H17" s="7">
        <f t="shared" si="4"/>
        <v>0</v>
      </c>
      <c r="I17" s="39" t="str">
        <f t="shared" si="2"/>
        <v>NA</v>
      </c>
      <c r="L17" s="1"/>
      <c r="M17" s="1"/>
      <c r="N17" s="1"/>
      <c r="O17" s="1"/>
      <c r="P17" s="1"/>
      <c r="Q17" s="1"/>
      <c r="R17" s="1"/>
      <c r="S17" s="1"/>
    </row>
    <row r="18" spans="1:20" s="5" customFormat="1" ht="24.95" customHeight="1" x14ac:dyDescent="0.25">
      <c r="A18" s="10" t="s">
        <v>26</v>
      </c>
      <c r="B18" s="11">
        <f>SUM(B14:B17)</f>
        <v>68785786.969999984</v>
      </c>
      <c r="C18" s="11">
        <f t="shared" ref="C18:G18" si="5">SUM(C14:C17)</f>
        <v>68620215.969999969</v>
      </c>
      <c r="D18" s="11">
        <f t="shared" si="5"/>
        <v>5986608.0500000007</v>
      </c>
      <c r="E18" s="11">
        <f t="shared" si="5"/>
        <v>57628260.830000013</v>
      </c>
      <c r="F18" s="11">
        <f t="shared" si="5"/>
        <v>1488294.5299999998</v>
      </c>
      <c r="G18" s="11">
        <f t="shared" si="5"/>
        <v>59116555.360000014</v>
      </c>
      <c r="H18" s="11">
        <f t="shared" ref="H18" si="6">SUM(H14:H17)</f>
        <v>9503660.6099999547</v>
      </c>
      <c r="I18" s="36">
        <f t="shared" si="2"/>
        <v>0.1384965126626074</v>
      </c>
      <c r="L18" s="1"/>
      <c r="M18" s="1"/>
      <c r="N18" s="1"/>
      <c r="O18" s="1"/>
      <c r="P18" s="1"/>
      <c r="R18" s="1"/>
      <c r="S18" s="1"/>
    </row>
    <row r="19" spans="1:20" s="5" customFormat="1" x14ac:dyDescent="0.25">
      <c r="A19" s="12"/>
      <c r="B19" s="13"/>
      <c r="C19" s="13"/>
      <c r="D19" s="13"/>
      <c r="E19" s="13"/>
      <c r="F19" s="13"/>
      <c r="G19" s="13"/>
      <c r="H19" s="13"/>
      <c r="I19" s="15"/>
      <c r="L19" s="1"/>
      <c r="M19" s="1"/>
      <c r="N19" s="1"/>
      <c r="O19" s="1"/>
      <c r="P19" s="1"/>
      <c r="Q19" s="1"/>
      <c r="T19" s="1"/>
    </row>
    <row r="20" spans="1:20" s="5" customFormat="1" x14ac:dyDescent="0.25">
      <c r="A20" s="6" t="s">
        <v>27</v>
      </c>
      <c r="B20" s="7">
        <f>B13-B18</f>
        <v>314968.03000001609</v>
      </c>
      <c r="C20" s="7">
        <f>C13-C18</f>
        <v>480539.03000003099</v>
      </c>
      <c r="D20" s="7">
        <f>D13-D18</f>
        <v>-5493313.6300000008</v>
      </c>
      <c r="E20" s="7">
        <f>E13-E18</f>
        <v>6337759.9999999851</v>
      </c>
      <c r="F20" s="7"/>
      <c r="G20" s="7">
        <f>G13-G18</f>
        <v>4849465.4699999839</v>
      </c>
      <c r="H20" s="7">
        <f>H13-H18</f>
        <v>-4368926.4399999455</v>
      </c>
      <c r="I20" s="16"/>
      <c r="L20" s="1"/>
      <c r="M20" s="1"/>
      <c r="N20" s="1"/>
      <c r="O20" s="1"/>
      <c r="P20" s="1"/>
      <c r="Q20" s="1"/>
      <c r="T20" s="1"/>
    </row>
    <row r="21" spans="1:20" s="5" customFormat="1" x14ac:dyDescent="0.25">
      <c r="A21" s="8"/>
      <c r="B21" s="9"/>
      <c r="C21" s="9"/>
      <c r="D21" s="9"/>
      <c r="E21" s="9"/>
      <c r="F21" s="9"/>
      <c r="G21" s="9"/>
      <c r="H21" s="9"/>
      <c r="I21" s="17"/>
      <c r="L21" s="1"/>
      <c r="M21" s="1"/>
      <c r="N21" s="1"/>
      <c r="O21" s="1"/>
      <c r="P21" s="1"/>
      <c r="Q21" s="1"/>
      <c r="R21" s="1"/>
      <c r="T21" s="1"/>
    </row>
    <row r="22" spans="1:20" s="5" customFormat="1" x14ac:dyDescent="0.25">
      <c r="A22" s="18" t="s">
        <v>73</v>
      </c>
      <c r="B22" s="20"/>
      <c r="C22" s="20"/>
      <c r="D22" s="20"/>
      <c r="E22" s="20">
        <v>18476000</v>
      </c>
      <c r="F22" s="20"/>
      <c r="G22" s="20">
        <f>E22</f>
        <v>18476000</v>
      </c>
      <c r="H22" s="20"/>
      <c r="I22" s="21"/>
      <c r="L22" s="1"/>
      <c r="M22" s="1"/>
      <c r="N22" s="1"/>
      <c r="O22" s="1"/>
      <c r="P22" s="1"/>
      <c r="Q22" s="1"/>
      <c r="R22" s="1"/>
      <c r="S22" s="1"/>
      <c r="T22" s="1"/>
    </row>
    <row r="23" spans="1:20" s="5" customFormat="1" ht="24.95" customHeight="1" thickBot="1" x14ac:dyDescent="0.3">
      <c r="A23" s="22" t="s">
        <v>28</v>
      </c>
      <c r="B23" s="24"/>
      <c r="C23" s="24"/>
      <c r="D23" s="24"/>
      <c r="E23" s="24">
        <f>SUM(E20:E22)</f>
        <v>24813759.999999985</v>
      </c>
      <c r="F23" s="24"/>
      <c r="G23" s="24">
        <f>SUM(G20:G22)</f>
        <v>23325465.469999984</v>
      </c>
      <c r="H23" s="24"/>
      <c r="I23" s="25"/>
      <c r="L23" s="1"/>
      <c r="M23" s="1"/>
      <c r="N23" s="1"/>
      <c r="O23" s="1"/>
      <c r="P23" s="1"/>
      <c r="Q23" s="1"/>
      <c r="R23" s="1"/>
      <c r="S23" s="1"/>
    </row>
    <row r="24" spans="1:20" s="5" customFormat="1" x14ac:dyDescent="0.25">
      <c r="A24" s="31"/>
      <c r="B24" s="33"/>
      <c r="C24" s="33"/>
      <c r="D24" s="33"/>
      <c r="E24" s="33"/>
      <c r="F24" s="33"/>
      <c r="G24" s="33"/>
      <c r="H24" s="33"/>
      <c r="K24" s="1"/>
      <c r="L24" s="1"/>
      <c r="M24" s="1"/>
      <c r="N24" s="1"/>
      <c r="O24" s="1"/>
      <c r="P24" s="1"/>
      <c r="Q24" s="1"/>
      <c r="R24" s="1"/>
      <c r="S24" s="1"/>
    </row>
    <row r="25" spans="1:20" s="5" customFormat="1" x14ac:dyDescent="0.25">
      <c r="B25" s="30"/>
      <c r="C25" s="140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20" s="5" customFormat="1" x14ac:dyDescent="0.25">
      <c r="A26" s="1"/>
      <c r="B26" s="30"/>
      <c r="C26" s="30"/>
      <c r="D26" s="30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x14ac:dyDescent="0.25">
      <c r="G27" s="1"/>
      <c r="H27" s="1"/>
    </row>
    <row r="28" spans="1:20" x14ac:dyDescent="0.25">
      <c r="I28" s="30"/>
      <c r="J28" s="30"/>
    </row>
    <row r="29" spans="1:20" x14ac:dyDescent="0.25">
      <c r="I29" s="30"/>
      <c r="J29" s="30"/>
    </row>
    <row r="30" spans="1:20" x14ac:dyDescent="0.25">
      <c r="G30" s="1"/>
      <c r="H30" s="1"/>
    </row>
    <row r="31" spans="1:20" x14ac:dyDescent="0.25">
      <c r="I31" s="30"/>
    </row>
    <row r="32" spans="1:20" x14ac:dyDescent="0.25">
      <c r="I32" s="30"/>
      <c r="J32" s="30"/>
    </row>
    <row r="33" spans="5:10" x14ac:dyDescent="0.25">
      <c r="I33" s="30"/>
      <c r="J33" s="30"/>
    </row>
    <row r="34" spans="5:10" x14ac:dyDescent="0.25">
      <c r="G34" s="1"/>
      <c r="H34" s="1"/>
    </row>
    <row r="35" spans="5:10" x14ac:dyDescent="0.25">
      <c r="E35" s="1"/>
      <c r="F35" s="1"/>
      <c r="G35" s="1"/>
      <c r="H35" s="1"/>
    </row>
    <row r="36" spans="5:10" x14ac:dyDescent="0.25">
      <c r="G36" s="1"/>
      <c r="H36" s="1"/>
    </row>
    <row r="37" spans="5:10" x14ac:dyDescent="0.25">
      <c r="H37" s="1"/>
    </row>
    <row r="38" spans="5:10" x14ac:dyDescent="0.25">
      <c r="H38" s="1"/>
    </row>
    <row r="39" spans="5:10" x14ac:dyDescent="0.25">
      <c r="H39" s="1"/>
    </row>
    <row r="40" spans="5:10" x14ac:dyDescent="0.25">
      <c r="H40" s="1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567C05E1695A4EB3D3286367216303" ma:contentTypeVersion="12" ma:contentTypeDescription="Create a new document." ma:contentTypeScope="" ma:versionID="599983a963579dda24d3a5f7d31e787c">
  <xsd:schema xmlns:xsd="http://www.w3.org/2001/XMLSchema" xmlns:xs="http://www.w3.org/2001/XMLSchema" xmlns:p="http://schemas.microsoft.com/office/2006/metadata/properties" xmlns:ns2="fd92ff4e-e524-4e6b-bcac-5c88d6f646ba" xmlns:ns3="edc4a2e3-56ec-4fd2-a9db-893721e9ab6c" targetNamespace="http://schemas.microsoft.com/office/2006/metadata/properties" ma:root="true" ma:fieldsID="ee07fade7bdb0859b166abd4daf62e53" ns2:_="" ns3:_="">
    <xsd:import namespace="fd92ff4e-e524-4e6b-bcac-5c88d6f646ba"/>
    <xsd:import namespace="edc4a2e3-56ec-4fd2-a9db-893721e9ab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92ff4e-e524-4e6b-bcac-5c88d6f646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c4a2e3-56ec-4fd2-a9db-893721e9ab6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125589-3B97-4A8E-BFB5-F8CAEDF79A9D}">
  <ds:schemaRefs>
    <ds:schemaRef ds:uri="http://schemas.microsoft.com/office/2006/documentManagement/types"/>
    <ds:schemaRef ds:uri="http://purl.org/dc/elements/1.1/"/>
    <ds:schemaRef ds:uri="edc4a2e3-56ec-4fd2-a9db-893721e9ab6c"/>
    <ds:schemaRef ds:uri="http://schemas.microsoft.com/office/infopath/2007/PartnerControls"/>
    <ds:schemaRef ds:uri="http://schemas.openxmlformats.org/package/2006/metadata/core-properties"/>
    <ds:schemaRef ds:uri="fd92ff4e-e524-4e6b-bcac-5c88d6f646ba"/>
    <ds:schemaRef ds:uri="http://purl.org/dc/terms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AC6B6A4-F3BF-426F-946D-49CEBD3D71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92ff4e-e524-4e6b-bcac-5c88d6f646ba"/>
    <ds:schemaRef ds:uri="edc4a2e3-56ec-4fd2-a9db-893721e9ab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86DB22D-BE67-457D-8D8E-A45D5D555EF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6</vt:i4>
      </vt:variant>
      <vt:variant>
        <vt:lpstr>Charts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GENERAL FUND</vt:lpstr>
      <vt:lpstr>DATA for CHARTS (2023)</vt:lpstr>
      <vt:lpstr>SPECIAL REVENUE</vt:lpstr>
      <vt:lpstr>DEBT SERVICE</vt:lpstr>
      <vt:lpstr>CAPITAL PROJECTS</vt:lpstr>
      <vt:lpstr>SCHOOL NUTRITION</vt:lpstr>
      <vt:lpstr>Budget vs Actual (2023)</vt:lpstr>
      <vt:lpstr>YTD EXPENDITURES by FUNCTION</vt:lpstr>
      <vt:lpstr>YTD EXPENDITURES by FUNCTIO (2</vt:lpstr>
      <vt:lpstr>DCSD Revenue Budget vs Actual</vt:lpstr>
      <vt:lpstr>'GENERAL FUND'!Print_Area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Copeland</dc:creator>
  <cp:lastModifiedBy>FINANCE</cp:lastModifiedBy>
  <cp:lastPrinted>2023-07-17T20:17:49Z</cp:lastPrinted>
  <dcterms:created xsi:type="dcterms:W3CDTF">2020-01-29T12:55:36Z</dcterms:created>
  <dcterms:modified xsi:type="dcterms:W3CDTF">2023-07-17T20:18:41Z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0x01010050567C05E1695A4EB3D3286367216303</vt:lpwstr>
  </property>
</Properties>
</file>