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3_09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4)" sheetId="10" state="hidden" r:id="rId2"/>
    <sheet name="Budget vs Actual (2024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4" l="1"/>
  <c r="H15" i="4"/>
  <c r="G15" i="4"/>
  <c r="G19" i="10" l="1"/>
  <c r="G18" i="10"/>
  <c r="G17" i="10"/>
  <c r="G16" i="10"/>
  <c r="G14" i="10"/>
  <c r="G13" i="10"/>
  <c r="G11" i="10"/>
  <c r="G10" i="10"/>
  <c r="G9" i="10"/>
  <c r="H25" i="10"/>
  <c r="F19" i="10" l="1"/>
  <c r="F17" i="10"/>
  <c r="F16" i="10"/>
  <c r="F14" i="10"/>
  <c r="F11" i="10"/>
  <c r="F10" i="10"/>
  <c r="F9" i="10"/>
  <c r="G21" i="4" l="1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4" i="4"/>
  <c r="H14" i="4" s="1"/>
  <c r="I19" i="4" l="1"/>
  <c r="I20" i="4"/>
  <c r="G27" i="1" l="1"/>
  <c r="H27" i="1" s="1"/>
  <c r="I27" i="1" s="1"/>
  <c r="C40" i="10" l="1"/>
  <c r="C41" i="10"/>
  <c r="C42" i="10"/>
  <c r="C43" i="10"/>
  <c r="G11" i="3"/>
  <c r="G12" i="3"/>
  <c r="G29" i="2"/>
  <c r="H29" i="2" s="1"/>
  <c r="I29" i="2" s="1"/>
  <c r="I14" i="4" l="1"/>
  <c r="G8" i="4" l="1"/>
  <c r="G9" i="4"/>
  <c r="G10" i="4"/>
  <c r="G11" i="4"/>
  <c r="E35" i="1" l="1"/>
  <c r="G35" i="1" s="1"/>
  <c r="G34" i="1"/>
  <c r="H65" i="10" l="1"/>
  <c r="F25" i="10"/>
  <c r="E20" i="10"/>
  <c r="E21" i="10"/>
  <c r="E22" i="10"/>
  <c r="T22" i="10" s="1"/>
  <c r="E23" i="10"/>
  <c r="E24" i="10"/>
  <c r="G26" i="1" l="1"/>
  <c r="H26" i="1" s="1"/>
  <c r="I26" i="1" s="1"/>
  <c r="G13" i="4" l="1"/>
  <c r="C29" i="1" l="1"/>
  <c r="D29" i="1"/>
  <c r="E29" i="1"/>
  <c r="F29" i="1"/>
  <c r="B2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8" i="1"/>
  <c r="G29" i="1" l="1"/>
  <c r="T21" i="10"/>
  <c r="U25" i="10"/>
  <c r="C12" i="4" l="1"/>
  <c r="D12" i="4"/>
  <c r="E12" i="4"/>
  <c r="F12" i="4"/>
  <c r="B12" i="4"/>
  <c r="I16" i="4"/>
  <c r="E16" i="10"/>
  <c r="T16" i="10" s="1"/>
  <c r="E13" i="10"/>
  <c r="T13" i="10" s="1"/>
  <c r="I11" i="3"/>
  <c r="H11" i="3"/>
  <c r="G9" i="3"/>
  <c r="H9" i="3" s="1"/>
  <c r="I9" i="3" s="1"/>
  <c r="I8" i="3"/>
  <c r="G8" i="3"/>
  <c r="H8" i="3" s="1"/>
  <c r="H12" i="3"/>
  <c r="I12" i="3" s="1"/>
  <c r="B47" i="10"/>
  <c r="E19" i="10"/>
  <c r="T19" i="10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5" i="1"/>
  <c r="I25" i="1" s="1"/>
  <c r="H28" i="1"/>
  <c r="I28" i="1" s="1"/>
  <c r="H24" i="1"/>
  <c r="I24" i="1" s="1"/>
  <c r="H23" i="1"/>
  <c r="I23" i="1" s="1"/>
  <c r="B12" i="1"/>
  <c r="C12" i="1"/>
  <c r="D12" i="1"/>
  <c r="E12" i="1"/>
  <c r="F12" i="1"/>
  <c r="B65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C47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E51" i="10" s="1"/>
  <c r="B46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B44" i="10"/>
  <c r="T43" i="10"/>
  <c r="T42" i="10"/>
  <c r="T41" i="10"/>
  <c r="T40" i="10"/>
  <c r="Q25" i="10"/>
  <c r="P25" i="10"/>
  <c r="O25" i="10"/>
  <c r="N25" i="10"/>
  <c r="M25" i="10"/>
  <c r="T24" i="10"/>
  <c r="T23" i="10"/>
  <c r="T20" i="10"/>
  <c r="E15" i="10"/>
  <c r="T15" i="10" s="1"/>
  <c r="E14" i="10"/>
  <c r="T14" i="10" s="1"/>
  <c r="E12" i="10"/>
  <c r="T12" i="10" s="1"/>
  <c r="E10" i="10"/>
  <c r="T10" i="10" s="1"/>
  <c r="G22" i="5"/>
  <c r="G26" i="4"/>
  <c r="G17" i="3"/>
  <c r="G36" i="2"/>
  <c r="G33" i="1"/>
  <c r="C18" i="5"/>
  <c r="D18" i="5"/>
  <c r="E18" i="5"/>
  <c r="F18" i="5"/>
  <c r="B18" i="5"/>
  <c r="B22" i="4"/>
  <c r="C22" i="4"/>
  <c r="D22" i="4"/>
  <c r="E22" i="4"/>
  <c r="F22" i="4"/>
  <c r="I15" i="5"/>
  <c r="I10" i="4"/>
  <c r="G8" i="1"/>
  <c r="H8" i="1" s="1"/>
  <c r="I8" i="1" s="1"/>
  <c r="G9" i="1"/>
  <c r="H9" i="1" s="1"/>
  <c r="I9" i="1" s="1"/>
  <c r="G10" i="1"/>
  <c r="H10" i="1" s="1"/>
  <c r="I10" i="1" s="1"/>
  <c r="G11" i="1"/>
  <c r="G30" i="2"/>
  <c r="H30" i="2" s="1"/>
  <c r="I30" i="2" s="1"/>
  <c r="G17" i="5"/>
  <c r="H17" i="5" s="1"/>
  <c r="G16" i="5"/>
  <c r="H16" i="5" s="1"/>
  <c r="I16" i="5" s="1"/>
  <c r="G15" i="5"/>
  <c r="H15" i="5" s="1"/>
  <c r="G14" i="5"/>
  <c r="H14" i="5" s="1"/>
  <c r="I14" i="5" s="1"/>
  <c r="B10" i="3"/>
  <c r="C10" i="3"/>
  <c r="D10" i="3"/>
  <c r="E10" i="3"/>
  <c r="B13" i="5"/>
  <c r="C13" i="5"/>
  <c r="D13" i="5"/>
  <c r="E13" i="5"/>
  <c r="F13" i="5"/>
  <c r="B13" i="3"/>
  <c r="C13" i="3"/>
  <c r="D13" i="3"/>
  <c r="E13" i="3"/>
  <c r="F13" i="3"/>
  <c r="B13" i="2"/>
  <c r="C13" i="2"/>
  <c r="D13" i="2"/>
  <c r="E13" i="2"/>
  <c r="F13" i="2"/>
  <c r="I17" i="5"/>
  <c r="G12" i="5"/>
  <c r="H12" i="5" s="1"/>
  <c r="I12" i="5" s="1"/>
  <c r="G11" i="5"/>
  <c r="H11" i="5" s="1"/>
  <c r="I11" i="5" s="1"/>
  <c r="G10" i="5"/>
  <c r="H10" i="5" s="1"/>
  <c r="I10" i="5" s="1"/>
  <c r="G9" i="5"/>
  <c r="H9" i="5" s="1"/>
  <c r="I9" i="5" s="1"/>
  <c r="G8" i="5"/>
  <c r="H8" i="5" s="1"/>
  <c r="I21" i="4"/>
  <c r="H13" i="4"/>
  <c r="I13" i="4" s="1"/>
  <c r="H11" i="4"/>
  <c r="I11" i="4"/>
  <c r="H10" i="4"/>
  <c r="H9" i="4"/>
  <c r="I9" i="4" s="1"/>
  <c r="H8" i="4"/>
  <c r="F10" i="3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G12" i="2"/>
  <c r="G11" i="2"/>
  <c r="G10" i="2"/>
  <c r="G9" i="2"/>
  <c r="G8" i="2"/>
  <c r="N48" i="10" l="1"/>
  <c r="H10" i="2"/>
  <c r="H9" i="2"/>
  <c r="H11" i="2"/>
  <c r="H12" i="2"/>
  <c r="E48" i="10"/>
  <c r="E11" i="10"/>
  <c r="T11" i="10" s="1"/>
  <c r="J25" i="10"/>
  <c r="O48" i="10"/>
  <c r="G48" i="10"/>
  <c r="B48" i="10"/>
  <c r="I48" i="10"/>
  <c r="E18" i="10"/>
  <c r="T18" i="10" s="1"/>
  <c r="H48" i="10"/>
  <c r="L48" i="10"/>
  <c r="J48" i="10"/>
  <c r="M48" i="10"/>
  <c r="F48" i="10"/>
  <c r="E52" i="10"/>
  <c r="F52" i="10" s="1"/>
  <c r="G52" i="10" s="1"/>
  <c r="H52" i="10" s="1"/>
  <c r="I52" i="10" s="1"/>
  <c r="J52" i="10" s="1"/>
  <c r="K52" i="10" s="1"/>
  <c r="L52" i="10" s="1"/>
  <c r="M52" i="10" s="1"/>
  <c r="N52" i="10" s="1"/>
  <c r="O52" i="10" s="1"/>
  <c r="P52" i="10" s="1"/>
  <c r="B20" i="5"/>
  <c r="K48" i="10"/>
  <c r="E9" i="10"/>
  <c r="L25" i="10"/>
  <c r="P48" i="10"/>
  <c r="E17" i="10"/>
  <c r="T17" i="10" s="1"/>
  <c r="E31" i="1"/>
  <c r="E36" i="1" s="1"/>
  <c r="G10" i="3"/>
  <c r="H10" i="3" s="1"/>
  <c r="E20" i="5"/>
  <c r="E23" i="5" s="1"/>
  <c r="D40" i="10"/>
  <c r="D41" i="10"/>
  <c r="D42" i="10"/>
  <c r="D43" i="10"/>
  <c r="D47" i="10"/>
  <c r="B56" i="10" s="1"/>
  <c r="D20" i="5"/>
  <c r="C20" i="5"/>
  <c r="C24" i="4"/>
  <c r="D34" i="2"/>
  <c r="C34" i="2"/>
  <c r="B31" i="1"/>
  <c r="E15" i="3"/>
  <c r="E18" i="3" s="1"/>
  <c r="D15" i="3"/>
  <c r="B34" i="2"/>
  <c r="D31" i="1"/>
  <c r="C31" i="1"/>
  <c r="G12" i="1"/>
  <c r="G13" i="5"/>
  <c r="B24" i="4"/>
  <c r="H18" i="5"/>
  <c r="I18" i="5" s="1"/>
  <c r="G18" i="5"/>
  <c r="G12" i="4"/>
  <c r="E24" i="4"/>
  <c r="E27" i="4" s="1"/>
  <c r="D24" i="4"/>
  <c r="B15" i="3"/>
  <c r="C15" i="3"/>
  <c r="G13" i="3"/>
  <c r="H13" i="3" s="1"/>
  <c r="I13" i="3" s="1"/>
  <c r="G32" i="2"/>
  <c r="G13" i="2"/>
  <c r="E34" i="2"/>
  <c r="E37" i="2" s="1"/>
  <c r="H11" i="1"/>
  <c r="I14" i="2"/>
  <c r="H32" i="2"/>
  <c r="I32" i="2" s="1"/>
  <c r="I8" i="5"/>
  <c r="H13" i="5"/>
  <c r="H12" i="4"/>
  <c r="I8" i="4"/>
  <c r="I17" i="1"/>
  <c r="H29" i="1"/>
  <c r="I29" i="1" s="1"/>
  <c r="I17" i="4"/>
  <c r="H22" i="4"/>
  <c r="I22" i="4" s="1"/>
  <c r="C46" i="10"/>
  <c r="F51" i="10"/>
  <c r="G22" i="4"/>
  <c r="G25" i="10"/>
  <c r="C44" i="10"/>
  <c r="D44" i="10" s="1"/>
  <c r="H8" i="2"/>
  <c r="I25" i="10"/>
  <c r="K25" i="10"/>
  <c r="I12" i="2" l="1"/>
  <c r="I11" i="2"/>
  <c r="I9" i="2"/>
  <c r="I10" i="2"/>
  <c r="E53" i="10"/>
  <c r="C48" i="10"/>
  <c r="D48" i="10" s="1"/>
  <c r="B57" i="10" s="1"/>
  <c r="E25" i="10"/>
  <c r="T9" i="10"/>
  <c r="T25" i="10" s="1"/>
  <c r="C6" i="10"/>
  <c r="G31" i="1"/>
  <c r="G36" i="1" s="1"/>
  <c r="G34" i="2"/>
  <c r="G37" i="2" s="1"/>
  <c r="G20" i="5"/>
  <c r="G23" i="5" s="1"/>
  <c r="G15" i="3"/>
  <c r="G18" i="3" s="1"/>
  <c r="H12" i="1"/>
  <c r="I12" i="1" s="1"/>
  <c r="I11" i="1"/>
  <c r="G24" i="4"/>
  <c r="G27" i="4" s="1"/>
  <c r="H13" i="2"/>
  <c r="I8" i="2"/>
  <c r="H20" i="5"/>
  <c r="I13" i="5"/>
  <c r="G51" i="10"/>
  <c r="F53" i="10"/>
  <c r="D46" i="10"/>
  <c r="B55" i="10" s="1"/>
  <c r="I12" i="4"/>
  <c r="H24" i="4"/>
  <c r="I10" i="3"/>
  <c r="H15" i="3"/>
  <c r="B16" i="10" l="1"/>
  <c r="C16" i="10" s="1"/>
  <c r="B29" i="10"/>
  <c r="B15" i="10"/>
  <c r="C15" i="10" s="1"/>
  <c r="I13" i="2"/>
  <c r="H34" i="2"/>
  <c r="G53" i="10"/>
  <c r="H51" i="10"/>
  <c r="H53" i="10" l="1"/>
  <c r="I51" i="10"/>
  <c r="I53" i="10" l="1"/>
  <c r="J51" i="10"/>
  <c r="K51" i="10" l="1"/>
  <c r="J53" i="10"/>
  <c r="K53" i="10" l="1"/>
  <c r="L51" i="10"/>
  <c r="M51" i="10" l="1"/>
  <c r="L53" i="10"/>
  <c r="M53" i="10" l="1"/>
  <c r="N51" i="10"/>
  <c r="O51" i="10" l="1"/>
  <c r="N53" i="10"/>
  <c r="O53" i="10" l="1"/>
  <c r="P51" i="10"/>
  <c r="P53" i="10" s="1"/>
</calcChain>
</file>

<file path=xl/sharedStrings.xml><?xml version="1.0" encoding="utf-8"?>
<sst xmlns="http://schemas.openxmlformats.org/spreadsheetml/2006/main" count="268" uniqueCount="84">
  <si>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</si>
  <si>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</si>
  <si>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</si>
  <si>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</si>
  <si>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</si>
  <si>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</si>
  <si>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</si>
  <si>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</si>
  <si>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</si>
  <si>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</si>
  <si>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</si>
  <si>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</si>
  <si>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</si>
  <si>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</si>
  <si>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</si>
  <si>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</si>
  <si>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</si>
  <si>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</si>
  <si>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</si>
  <si>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</si>
  <si>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</si>
  <si>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</si>
  <si>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</si>
  <si>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</si>
  <si>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</si>
  <si>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</si>
  <si>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</si>
  <si>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</si>
  <si>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</si>
  <si>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SCHOOL NUTRITION PROGRAM</t>
  </si>
  <si>
    <t xml:space="preserve">   ENTERPRISE OPERATIONS</t>
  </si>
  <si>
    <t>% of REMAINING BUDGET</t>
  </si>
  <si>
    <t>Description</t>
  </si>
  <si>
    <t>AMENDED BUDGET</t>
  </si>
  <si>
    <t>ORIGINAL BUDGET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</si>
  <si>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</si>
  <si>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</si>
  <si>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</si>
  <si>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</si>
  <si>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</si>
  <si>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</si>
  <si>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</si>
  <si>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</si>
  <si>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</si>
  <si>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</si>
  <si>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</si>
  <si>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</si>
  <si>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</si>
  <si>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</si>
  <si>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</si>
  <si>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</si>
  <si>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</si>
  <si>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</si>
  <si>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</si>
  <si>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</si>
  <si>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</si>
  <si>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</si>
  <si>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</si>
  <si>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</si>
  <si>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</si>
  <si>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</si>
  <si>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</si>
  <si>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</si>
  <si>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</si>
  <si>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</si>
  <si>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</si>
  <si>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</si>
  <si>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BEGINNING BALANCE (Estimated)</t>
  </si>
  <si>
    <t>ASSIGNED BALANCE (Gold Case)</t>
  </si>
  <si>
    <t>UNASSIGNED STARTING BALANCE (Estimated)</t>
  </si>
  <si>
    <t xml:space="preserve">   MAINTENANCE AND OPERATION OF PLANT SERVICES</t>
  </si>
  <si>
    <t xml:space="preserve">   FEDERAL GRANT ADMINISTRATION</t>
  </si>
  <si>
    <t xml:space="preserve">   COMMUNITY SERVICES OPERATIONS</t>
  </si>
  <si>
    <t xml:space="preserve">   FACILITIES ACQUISITION AND CONSTRUCTION SERVICES</t>
  </si>
  <si>
    <t xml:space="preserve">   FEDERAL SOURCES</t>
  </si>
  <si>
    <t>FY2024 GENERAL FUND (ROLLUP)</t>
  </si>
  <si>
    <t>FY2024 SPECIAL REVENUE (ROLLUP)</t>
  </si>
  <si>
    <t>FY2024 SCHOOL NUTRITION (ROLLUP)</t>
  </si>
  <si>
    <t>FY2024 CAPITAL PROJECTS (ROLLUP)</t>
  </si>
  <si>
    <t>FY2024 DEBT SERVICE (ROLLUP)</t>
  </si>
  <si>
    <t>FY2024 BUDGET CHARTS</t>
  </si>
  <si>
    <t>TOTAL GENERAL OPERATIONS BUDGET
$1,474,839,611</t>
  </si>
  <si>
    <t>GENERAL OPERATIONS YTD EXPENSES
$205,323,440</t>
  </si>
  <si>
    <t>(LOCAL &amp; OTHER)  Budgeted: $930,818,788  Actual: $124,018,963  13.32%
(STATE)  Budgeted: $524,150,275  Actual: $15,342,742   2.93%
TOTAL Budgeted: $1,454,969,063  Actual: $189,785,754   13.04%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</si>
</sst>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6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0" fontId="3" fillId="0" borderId="14" xfId="1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6" fillId="0" borderId="33" xfId="2" applyNumberFormat="1" applyFont="1" applyFill="1" applyBorder="1" applyAlignment="1">
      <alignment horizontal="center" vertical="center" wrapText="1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6" fillId="0" borderId="22" xfId="2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38" fontId="6" fillId="0" borderId="39" xfId="2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38" fontId="0" fillId="0" borderId="0" xfId="0" applyNumberFormat="1"/>
    <xf numFmtId="40" fontId="11" fillId="0" borderId="0" xfId="2" applyNumberFormat="1" applyFont="1" applyAlignment="1">
      <alignment vertical="top"/>
    </xf>
    <xf numFmtId="40" fontId="3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FY2024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-5.2191008721703167E-2"/>
                  <c:y val="5.722492086111429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6520980263625521"/>
                      <c:h val="8.078455846916095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1.8430093429895988E-2"/>
                  <c:y val="-7.1448909044889861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5704652013784135"/>
                      <c:h val="9.5730834174129822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(2024)'!$B$15:$B$16</c:f>
              <c:numCache>
                <c:formatCode>"$"#,##0_);\("$"#,##0\)</c:formatCode>
                <c:ptCount val="2"/>
                <c:pt idx="0">
                  <c:v>1269516170.9500096</c:v>
                </c:pt>
                <c:pt idx="1">
                  <c:v>205323440.47000051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ser>
          <c:idx val="1"/>
          <c:order val="1"/>
          <c:cat>
            <c:strRef>
              <c:f>'DATA for CHARTS (2024)'!$B$27</c:f>
              <c:strCache>
                <c:ptCount val="1"/>
                <c:pt idx="0">
                  <c:v>TOTAL GENERAL OPERATIONS BUDGET
$1,474,839,611</c:v>
                </c:pt>
              </c:strCache>
            </c:strRef>
          </c:cat>
          <c:val>
            <c:numRef>
              <c:f>'DATA for CHARTS (2024)'!$C$27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cat>
            <c:strRef>
              <c:f>'DATA for CHARTS (2024)'!$B$27</c:f>
              <c:strCache>
                <c:ptCount val="1"/>
                <c:pt idx="0">
                  <c:v>TOTAL GENERAL OPERATIONS BUDGET
$1,474,839,611</c:v>
                </c:pt>
              </c:strCache>
            </c:strRef>
          </c:cat>
          <c:val>
            <c:numRef>
              <c:f>'DATA for CHARTS (2024)'!$D$27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cat>
            <c:strRef>
              <c:f>'DATA for CHARTS (2024)'!$B$27</c:f>
              <c:strCache>
                <c:ptCount val="1"/>
                <c:pt idx="0">
                  <c:v>TOTAL GENERAL OPERATIONS BUDGET
$1,474,839,611</c:v>
                </c:pt>
              </c:strCache>
            </c:strRef>
          </c:cat>
          <c:val>
            <c:numRef>
              <c:f>'DATA for CHARTS (2024)'!$E$27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cat>
            <c:strRef>
              <c:f>'DATA for CHARTS (2024)'!$B$27</c:f>
              <c:strCache>
                <c:ptCount val="1"/>
                <c:pt idx="0">
                  <c:v>TOTAL GENERAL OPERATIONS BUDGET
$1,474,839,611</c:v>
                </c:pt>
              </c:strCache>
            </c:strRef>
          </c:cat>
          <c:val>
            <c:numRef>
              <c:f>'DATA for CHARTS (2024)'!$F$27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19587371036997"/>
          <c:y val="0.9261519258573524"/>
          <c:w val="0.33272226127200499"/>
          <c:h val="3.39785806040817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FY2024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061212508917829"/>
          <c:y val="0.25536613988131596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2.5196060622813422E-2"/>
                  <c:y val="-6.679717215004667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9.542538376283707E-4"/>
                  <c:y val="-0.1679814990101138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6.6867268472092724E-4"/>
                  <c:y val="-7.516117288509352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5315753033378351"/>
                      <c:h val="7.7968913066844184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1.184024514488347E-3"/>
                  <c:y val="8.2762111803395769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113487443959174E-3"/>
                  <c:y val="7.634875891504301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9569732820508762E-2"/>
                  <c:y val="0.1338228031792217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11582253321642"/>
                      <c:h val="5.4246674736884964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9.5899246295316396E-4"/>
                  <c:y val="0.1191616305557578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165643913367397"/>
                      <c:h val="5.925006200741127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9.3364871517439552E-2"/>
                  <c:y val="2.838473460302270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4.5006410307036596E-4"/>
                  <c:y val="0.1068349646518754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005386237452515"/>
                      <c:h val="6.8548878498791321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6.0541940782978858E-2"/>
                  <c:y val="0.1326139582618222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3028397528543637"/>
                  <c:y val="0.1173832333045555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14021597601202557"/>
                  <c:y val="-6.424808523769402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-0.18923436977599464"/>
                  <c:y val="5.408911402587226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0.11665653127361086"/>
                  <c:y val="-1.293626935998921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9.2621170598408912E-3"/>
                  <c:y val="-0.1107085920732827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.16814590753888964"/>
                  <c:y val="-0.1293977816841586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104174307.3900006</c:v>
                </c:pt>
                <c:pt idx="1">
                  <c:v>10311227.320000004</c:v>
                </c:pt>
                <c:pt idx="2">
                  <c:v>3942889.990000003</c:v>
                </c:pt>
                <c:pt idx="3">
                  <c:v>615.90000000000009</c:v>
                </c:pt>
                <c:pt idx="4">
                  <c:v>1691559.8900000025</c:v>
                </c:pt>
                <c:pt idx="5">
                  <c:v>4827455.6999999993</c:v>
                </c:pt>
                <c:pt idx="6">
                  <c:v>16645719.019999895</c:v>
                </c:pt>
                <c:pt idx="7">
                  <c:v>3513129.4300000025</c:v>
                </c:pt>
                <c:pt idx="8">
                  <c:v>40579510.829999991</c:v>
                </c:pt>
                <c:pt idx="9">
                  <c:v>11205719.879999999</c:v>
                </c:pt>
                <c:pt idx="10">
                  <c:v>7720953.799999997</c:v>
                </c:pt>
                <c:pt idx="11">
                  <c:v>186786.29</c:v>
                </c:pt>
                <c:pt idx="12">
                  <c:v>4799.2499999999973</c:v>
                </c:pt>
                <c:pt idx="13">
                  <c:v>0</c:v>
                </c:pt>
                <c:pt idx="14">
                  <c:v>518765.78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30"/>
          <c:order val="3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$1,474,839,611</c:v>
                </c:pt>
              </c:strCache>
            </c:strRef>
          </c:cat>
          <c:val>
            <c:numRef>
              <c:f>'DATA for CHARTS (2024)'!$C$27</c:f>
              <c:numCache>
                <c:formatCode>General</c:formatCode>
                <c:ptCount val="1"/>
              </c:numCache>
            </c:numRef>
          </c:val>
        </c:ser>
        <c:ser>
          <c:idx val="31"/>
          <c:order val="3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$1,474,839,611</c:v>
                </c:pt>
              </c:strCache>
            </c:strRef>
          </c:cat>
          <c:val>
            <c:numRef>
              <c:f>'DATA for CHARTS (2024)'!$D$27</c:f>
              <c:numCache>
                <c:formatCode>General</c:formatCode>
                <c:ptCount val="1"/>
              </c:numCache>
            </c:numRef>
          </c:val>
        </c:ser>
        <c:ser>
          <c:idx val="32"/>
          <c:order val="3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$1,474,839,611</c:v>
                </c:pt>
              </c:strCache>
            </c:strRef>
          </c:cat>
          <c:val>
            <c:numRef>
              <c:f>'DATA for CHARTS (2024)'!$E$27</c:f>
              <c:numCache>
                <c:formatCode>General</c:formatCode>
                <c:ptCount val="1"/>
              </c:numCache>
            </c:numRef>
          </c:val>
        </c:ser>
        <c:ser>
          <c:idx val="33"/>
          <c:order val="3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$1,474,839,611</c:v>
                </c:pt>
              </c:strCache>
            </c:strRef>
          </c:cat>
          <c:val>
            <c:numRef>
              <c:f>'DATA for CHARTS (2024)'!$F$27</c:f>
              <c:numCache>
                <c:formatCode>General</c:formatCode>
                <c:ptCount val="1"/>
              </c:numCache>
            </c:numRef>
          </c:val>
        </c:ser>
        <c:ser>
          <c:idx val="34"/>
          <c:order val="3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(2024)'!$I$29</c:f>
              <c:numCache>
                <c:formatCode>#,##0_);[Red]\(#,##0\)</c:formatCode>
                <c:ptCount val="1"/>
              </c:numCache>
            </c:numRef>
          </c:val>
        </c:ser>
        <c:ser>
          <c:idx val="35"/>
          <c:order val="3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(2024)'!$J$29</c:f>
              <c:numCache>
                <c:formatCode>#,##0_);[Red]\(#,##0\)</c:formatCode>
                <c:ptCount val="1"/>
              </c:numCache>
            </c:numRef>
          </c:val>
        </c:ser>
        <c:ser>
          <c:idx val="36"/>
          <c:order val="3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(2024)'!$K$29</c:f>
              <c:numCache>
                <c:formatCode>#,##0_);[Red]\(#,##0\)</c:formatCode>
                <c:ptCount val="1"/>
              </c:numCache>
            </c:numRef>
          </c:val>
        </c:ser>
        <c:ser>
          <c:idx val="37"/>
          <c:order val="3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(2024)'!$L$29</c:f>
              <c:numCache>
                <c:formatCode>#,##0_);[Red]\(#,##0\)</c:formatCode>
                <c:ptCount val="1"/>
              </c:numCache>
            </c:numRef>
          </c:val>
        </c:ser>
        <c:ser>
          <c:idx val="38"/>
          <c:order val="3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(2024)'!$I$29</c:f>
              <c:numCache>
                <c:formatCode>#,##0_);[Red]\(#,##0\)</c:formatCode>
                <c:ptCount val="1"/>
              </c:numCache>
            </c:numRef>
          </c:val>
        </c:ser>
        <c:ser>
          <c:idx val="39"/>
          <c:order val="3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(2024)'!$J$29</c:f>
              <c:numCache>
                <c:formatCode>#,##0_);[Red]\(#,##0\)</c:formatCode>
                <c:ptCount val="1"/>
              </c:numCache>
            </c:numRef>
          </c:val>
        </c:ser>
        <c:ser>
          <c:idx val="40"/>
          <c:order val="4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(2024)'!$K$29</c:f>
              <c:numCache>
                <c:formatCode>#,##0_);[Red]\(#,##0\)</c:formatCode>
                <c:ptCount val="1"/>
              </c:numCache>
            </c:numRef>
          </c:val>
        </c:ser>
        <c:ser>
          <c:idx val="41"/>
          <c:order val="4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$205,323,440</c:v>
                </c:pt>
              </c:strCache>
            </c:strRef>
          </c:cat>
          <c:val>
            <c:numRef>
              <c:f>'DATA for CHARTS (2024)'!$L$29</c:f>
              <c:numCache>
                <c:formatCode>#,##0_);[Red]\(#,##0\)</c:formatCode>
                <c:ptCount val="1"/>
              </c:numCache>
            </c:numRef>
          </c:val>
        </c:ser>
        <c:ser>
          <c:idx val="42"/>
          <c:order val="4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FY2024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2EE-4976-80E3-6C84EC3EF08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104174307.3900006</c:v>
                </c:pt>
                <c:pt idx="1">
                  <c:v>10311227.320000004</c:v>
                </c:pt>
                <c:pt idx="2">
                  <c:v>3942889.990000003</c:v>
                </c:pt>
                <c:pt idx="3">
                  <c:v>615.90000000000009</c:v>
                </c:pt>
                <c:pt idx="4">
                  <c:v>1691559.8900000025</c:v>
                </c:pt>
                <c:pt idx="5">
                  <c:v>4827455.6999999993</c:v>
                </c:pt>
                <c:pt idx="6">
                  <c:v>16645719.019999895</c:v>
                </c:pt>
                <c:pt idx="7">
                  <c:v>3513129.4300000025</c:v>
                </c:pt>
                <c:pt idx="8">
                  <c:v>40579510.829999991</c:v>
                </c:pt>
                <c:pt idx="9">
                  <c:v>11205719.879999999</c:v>
                </c:pt>
                <c:pt idx="10">
                  <c:v>7720953.799999997</c:v>
                </c:pt>
                <c:pt idx="11">
                  <c:v>186786.29</c:v>
                </c:pt>
                <c:pt idx="12">
                  <c:v>4799.2499999999973</c:v>
                </c:pt>
                <c:pt idx="13">
                  <c:v>0</c:v>
                </c:pt>
                <c:pt idx="14">
                  <c:v>518765.78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259801912"/>
        <c:axId val="-1259807400"/>
      </c:barChart>
      <c:valAx>
        <c:axId val="-1259807400"/>
        <c:scaling>
          <c:orientation val="minMax"/>
          <c:max val="15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59801912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-12598019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598074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FY2024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(2024)'!$B$68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(2024)'!$B$69:$B$72</c:f>
              <c:numCache>
                <c:formatCode>#,##0_);[Red]\(#,##0\)</c:formatCode>
                <c:ptCount val="4"/>
                <c:pt idx="0">
                  <c:v>920385016.21000004</c:v>
                </c:pt>
                <c:pt idx="1">
                  <c:v>9000000</c:v>
                </c:pt>
                <c:pt idx="2">
                  <c:v>524150274.62</c:v>
                </c:pt>
                <c:pt idx="3">
                  <c:v>1433772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(2024)'!$C$68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(2024)'!$C$69:$C$72</c:f>
              <c:numCache>
                <c:formatCode>#,##0_);[Red]\(#,##0\)</c:formatCode>
                <c:ptCount val="4"/>
                <c:pt idx="0">
                  <c:v>120434044.77000001</c:v>
                </c:pt>
                <c:pt idx="1">
                  <c:v>3510458.7600000002</c:v>
                </c:pt>
                <c:pt idx="2">
                  <c:v>65766791.620000005</c:v>
                </c:pt>
                <c:pt idx="3">
                  <c:v>74459.19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(2024)'!$R$55</c:f>
              <c:strCache>
                <c:ptCount val="1"/>
                <c:pt idx="0">
                  <c:v>(LOCAL &amp; OTHER)  Budgeted: $930,818,788  Actual: $124,018,963  13.32%
(STATE)  Budgeted: $524,150,275  Actual: $15,342,742   2.93%
TOTAL Budgeted: $1,454,969,063  Actual: $189,785,754   13.04%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(2024)'!$R$55</c:f>
              <c:strCache>
                <c:ptCount val="1"/>
                <c:pt idx="0">
                  <c:v>(LOCAL &amp; OTHER)  Budgeted: $930,818,788  Actual: $124,018,963  13.32%
(STATE)  Budgeted: $524,150,275  Actual: $15,342,742   2.93%
TOTAL Budgeted: $1,454,969,063  Actual: $189,785,754   13.04%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59800344"/>
        <c:axId val="10656228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(2024)'!$A$69:$A$72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$124,018,963  13.32%
(STATE)  Budgeted: $524,150,275  Actual: $15,342,742   2.93%
TOTAL Budgeted: $1,454,969,063  Actual: $189,785,754   13.04%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$124,018,963  13.32%
(STATE)  Budgeted: $524,150,275  Actual: $15,342,742   2.93%
TOTAL Budgeted: $1,454,969,063  Actual: $189,785,754   13.04%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$124,018,963  13.32%
(STATE)  Budgeted: $524,150,275  Actual: $15,342,742   2.93%
TOTAL Budgeted: $1,454,969,063  Actual: $189,785,754   13.04%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$124,018,963  13.32%
(STATE)  Budgeted: $524,150,275  Actual: $15,342,742   2.93%
TOTAL Budgeted: $1,454,969,063  Actual: $189,785,754   13.04%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-1259800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5622880"/>
        <c:crosses val="autoZero"/>
        <c:auto val="1"/>
        <c:lblAlgn val="ctr"/>
        <c:lblOffset val="500"/>
        <c:noMultiLvlLbl val="0"/>
      </c:catAx>
      <c:valAx>
        <c:axId val="106562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59800344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2874889371936"/>
          <c:h val="6.34312996292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6" workbookViewId="0"/>
  </sheetViews>
  <pageMargins left="0.25" right="0.25" top="0.25" bottom="0.2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4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52" y="974828"/>
          <a:ext cx="5716847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$1,474,839,611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$205,323,440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TOTAL GENERAL OPERATIONS BUDGET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$1,474,839,611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8042" cy="72156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$930,818,788  Actual: $124,018,963  13.32%</a:t>
          </a:r>
        </a:p>
        <a:p xmlns:a="http://schemas.openxmlformats.org/drawingml/2006/main">
          <a:pPr algn="ctr"/>
          <a:r>
            <a:rPr lang="en-US" sz="1100"/>
            <a:t>(STATE)  Budgeted: $524,150,275  Actual: $15,342,742   2.93%</a:t>
          </a:r>
        </a:p>
        <a:p xmlns:a="http://schemas.openxmlformats.org/drawingml/2006/main">
          <a:pPr algn="ctr"/>
          <a:r>
            <a:rPr lang="en-US" sz="1100"/>
            <a:t>TOTAL Budgeted: $1,454,969,063  Actual: $189,785,754   13.04%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"/>
  <sheetViews>
    <sheetView tabSelected="1" workbookViewId="0">
      <selection sqref="A1:I1"/>
    </sheetView>
  </sheetViews>
  <sheetFormatPr defaultRowHeight="15" x14ac:dyDescent="0.25"/>
  <cols>
    <col min="1" max="1" width="49.7109375" style="1" bestFit="1" customWidth="1"/>
    <col min="2" max="2" width="19.140625" style="30" bestFit="1" customWidth="1"/>
    <col min="3" max="3" width="21" style="30" bestFit="1" customWidth="1"/>
    <col min="4" max="4" width="14.42578125" style="30" bestFit="1" customWidth="1"/>
    <col min="5" max="5" width="16.140625" style="30" bestFit="1" customWidth="1"/>
    <col min="6" max="6" width="16.28515625" style="30" customWidth="1"/>
    <col min="7" max="7" width="16.140625" style="30" bestFit="1" customWidth="1"/>
    <col min="8" max="8" width="14.7109375" style="30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37" bestFit="1" customWidth="1"/>
    <col min="17" max="17" width="13.5703125" style="137" bestFit="1" customWidth="1"/>
    <col min="18" max="16384" width="9.140625" style="1"/>
  </cols>
  <sheetData>
    <row r="1" spans="1:1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L1" s="138"/>
      <c r="M1" s="138"/>
      <c r="N1" s="138"/>
      <c r="O1" s="138"/>
      <c r="P1" s="138"/>
    </row>
    <row r="2" spans="1:19" ht="18.75" x14ac:dyDescent="0.3">
      <c r="A2" s="152" t="s">
        <v>75</v>
      </c>
      <c r="B2" s="152"/>
      <c r="C2" s="152"/>
      <c r="D2" s="152"/>
      <c r="E2" s="152"/>
      <c r="F2" s="152"/>
      <c r="G2" s="152"/>
      <c r="H2" s="152"/>
      <c r="I2" s="152"/>
      <c r="L2" s="138"/>
      <c r="M2" s="138"/>
      <c r="N2" s="138"/>
      <c r="O2" s="138"/>
      <c r="P2" s="138"/>
    </row>
    <row r="3" spans="1:1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L3" s="138"/>
      <c r="M3" s="138"/>
      <c r="N3" s="138"/>
      <c r="O3" s="138"/>
      <c r="P3" s="138"/>
    </row>
    <row r="4" spans="1:19" x14ac:dyDescent="0.25">
      <c r="A4" s="153">
        <v>45199</v>
      </c>
      <c r="B4" s="153"/>
      <c r="C4" s="153"/>
      <c r="D4" s="153"/>
      <c r="E4" s="153"/>
      <c r="F4" s="153"/>
      <c r="G4" s="153"/>
      <c r="H4" s="153"/>
      <c r="I4" s="153"/>
      <c r="L4" s="138"/>
      <c r="M4" s="138"/>
      <c r="N4" s="138"/>
      <c r="O4" s="138"/>
      <c r="P4" s="138"/>
    </row>
    <row r="5" spans="1:1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L5" s="138"/>
      <c r="M5" s="138"/>
      <c r="N5" s="138"/>
      <c r="O5" s="138"/>
      <c r="P5" s="138"/>
    </row>
    <row r="6" spans="1:1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  <c r="L6" s="138"/>
      <c r="M6" s="138"/>
      <c r="N6" s="138"/>
      <c r="O6" s="138"/>
      <c r="P6" s="138"/>
    </row>
    <row r="7" spans="1:19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31</v>
      </c>
      <c r="L7" s="138"/>
      <c r="M7" s="138"/>
      <c r="N7" s="138"/>
      <c r="O7" s="138"/>
      <c r="P7" s="138"/>
      <c r="Q7" s="138"/>
    </row>
    <row r="8" spans="1:19" s="5" customFormat="1" x14ac:dyDescent="0.2">
      <c r="A8" s="6" t="s">
        <v>8</v>
      </c>
      <c r="B8" s="7">
        <v>920399645.21000004</v>
      </c>
      <c r="C8" s="7">
        <v>920385016.21000004</v>
      </c>
      <c r="D8" s="7">
        <v>102724387.24000001</v>
      </c>
      <c r="E8" s="7">
        <v>120434044.77</v>
      </c>
      <c r="F8" s="7">
        <v>0</v>
      </c>
      <c r="G8" s="7">
        <f t="shared" ref="G8:G28" si="0">SUM(E8:F8)</f>
        <v>120434044.77</v>
      </c>
      <c r="H8" s="7">
        <f t="shared" ref="H8:H11" si="1">C8-G8</f>
        <v>799950971.44000006</v>
      </c>
      <c r="I8" s="35">
        <f>IF(C8=0,"NA",H8/C8)</f>
        <v>0.8691481905410321</v>
      </c>
      <c r="L8"/>
      <c r="M8" s="139"/>
      <c r="N8" s="139"/>
      <c r="O8" s="139"/>
      <c r="P8" s="139"/>
      <c r="Q8" s="139"/>
    </row>
    <row r="9" spans="1:19" s="5" customFormat="1" x14ac:dyDescent="0.2">
      <c r="A9" s="6" t="s">
        <v>9</v>
      </c>
      <c r="B9" s="7">
        <v>9000000</v>
      </c>
      <c r="C9" s="7">
        <v>9000000</v>
      </c>
      <c r="D9" s="7">
        <v>857068.02</v>
      </c>
      <c r="E9" s="7">
        <v>3510458.76</v>
      </c>
      <c r="F9" s="7">
        <v>0</v>
      </c>
      <c r="G9" s="7">
        <f>SUM(E9:F9)</f>
        <v>3510458.76</v>
      </c>
      <c r="H9" s="7">
        <f>C9-G9</f>
        <v>5489541.2400000002</v>
      </c>
      <c r="I9" s="35">
        <f t="shared" ref="I9:I28" si="2">IF(C9=0,"NA",H9/C9)</f>
        <v>0.60994902666666673</v>
      </c>
      <c r="L9"/>
      <c r="M9" s="139"/>
      <c r="N9" s="139"/>
      <c r="O9" s="139"/>
      <c r="P9" s="139"/>
      <c r="Q9" s="139"/>
    </row>
    <row r="10" spans="1:19" s="5" customFormat="1" x14ac:dyDescent="0.2">
      <c r="A10" s="6" t="s">
        <v>10</v>
      </c>
      <c r="B10" s="7">
        <v>523845317.62</v>
      </c>
      <c r="C10" s="7">
        <v>524150274.62</v>
      </c>
      <c r="D10" s="7">
        <v>50424050</v>
      </c>
      <c r="E10" s="7">
        <v>65766791.620000005</v>
      </c>
      <c r="F10" s="7">
        <v>0</v>
      </c>
      <c r="G10" s="7">
        <f t="shared" si="0"/>
        <v>65766791.620000005</v>
      </c>
      <c r="H10" s="7">
        <f t="shared" si="1"/>
        <v>458383483</v>
      </c>
      <c r="I10" s="35">
        <f t="shared" si="2"/>
        <v>0.87452683933499831</v>
      </c>
      <c r="L10"/>
      <c r="M10" s="139"/>
      <c r="N10" s="139"/>
      <c r="O10" s="139"/>
      <c r="P10" s="139"/>
      <c r="Q10" s="139"/>
    </row>
    <row r="11" spans="1:19" s="5" customFormat="1" x14ac:dyDescent="0.2">
      <c r="A11" s="6" t="s">
        <v>11</v>
      </c>
      <c r="B11" s="7">
        <v>1433772</v>
      </c>
      <c r="C11" s="7">
        <v>1433772</v>
      </c>
      <c r="D11" s="7">
        <v>59356.54</v>
      </c>
      <c r="E11" s="7">
        <v>74459.19</v>
      </c>
      <c r="F11" s="7">
        <v>0</v>
      </c>
      <c r="G11" s="7">
        <f t="shared" si="0"/>
        <v>74459.19</v>
      </c>
      <c r="H11" s="7">
        <f t="shared" si="1"/>
        <v>1359312.81</v>
      </c>
      <c r="I11" s="35">
        <f t="shared" si="2"/>
        <v>0.94806762163021741</v>
      </c>
      <c r="L11"/>
      <c r="M11" s="139"/>
      <c r="N11" s="139"/>
      <c r="O11" s="139"/>
      <c r="P11" s="139"/>
      <c r="Q11" s="139"/>
    </row>
    <row r="12" spans="1:19" s="5" customFormat="1" ht="24.95" customHeight="1" x14ac:dyDescent="0.25">
      <c r="A12" s="10" t="s">
        <v>12</v>
      </c>
      <c r="B12" s="11">
        <f t="shared" ref="B12:H12" si="3">SUM(B8:B11)</f>
        <v>1454678734.8299999</v>
      </c>
      <c r="C12" s="11">
        <f t="shared" si="3"/>
        <v>1454969062.8299999</v>
      </c>
      <c r="D12" s="11">
        <f t="shared" si="3"/>
        <v>154064861.79999998</v>
      </c>
      <c r="E12" s="11">
        <f t="shared" si="3"/>
        <v>189785754.34</v>
      </c>
      <c r="F12" s="11">
        <f t="shared" si="3"/>
        <v>0</v>
      </c>
      <c r="G12" s="11">
        <f t="shared" si="3"/>
        <v>189785754.34</v>
      </c>
      <c r="H12" s="11">
        <f t="shared" si="3"/>
        <v>1265183308.49</v>
      </c>
      <c r="I12" s="36">
        <f t="shared" si="2"/>
        <v>0.86956028194107748</v>
      </c>
      <c r="L12" s="1"/>
      <c r="M12" s="1"/>
      <c r="N12" s="1"/>
      <c r="O12" s="1"/>
      <c r="P12" s="1"/>
      <c r="Q12" s="1"/>
      <c r="R12" s="1"/>
      <c r="S12" s="1"/>
    </row>
    <row r="13" spans="1:19" s="5" customFormat="1" x14ac:dyDescent="0.25">
      <c r="A13" s="12" t="s">
        <v>13</v>
      </c>
      <c r="B13" s="13">
        <v>823739509.84001064</v>
      </c>
      <c r="C13" s="13">
        <v>818592582.74001062</v>
      </c>
      <c r="D13" s="13">
        <v>78000020.889999852</v>
      </c>
      <c r="E13" s="13">
        <v>104174307.39000055</v>
      </c>
      <c r="F13" s="13">
        <v>10711338.020000003</v>
      </c>
      <c r="G13" s="13">
        <f t="shared" si="0"/>
        <v>114885645.41000056</v>
      </c>
      <c r="H13" s="13">
        <f t="shared" ref="H13:H28" si="4">C13-G13</f>
        <v>703706937.33001006</v>
      </c>
      <c r="I13" s="35">
        <f t="shared" si="2"/>
        <v>0.8596546709164492</v>
      </c>
      <c r="L13" s="137"/>
      <c r="M13" s="137"/>
      <c r="N13" s="137"/>
      <c r="O13" s="137"/>
      <c r="P13" s="137"/>
      <c r="Q13" s="138"/>
    </row>
    <row r="14" spans="1:19" s="5" customFormat="1" x14ac:dyDescent="0.25">
      <c r="A14" s="6" t="s">
        <v>14</v>
      </c>
      <c r="B14" s="7">
        <v>93507172.169999838</v>
      </c>
      <c r="C14" s="7">
        <v>95235192.049999833</v>
      </c>
      <c r="D14" s="7">
        <v>7273282.5799999973</v>
      </c>
      <c r="E14" s="7">
        <v>10311227.320000004</v>
      </c>
      <c r="F14" s="7">
        <v>1276730.0399999996</v>
      </c>
      <c r="G14" s="7">
        <f t="shared" si="0"/>
        <v>11587957.360000003</v>
      </c>
      <c r="H14" s="7">
        <f t="shared" si="4"/>
        <v>83647234.689999834</v>
      </c>
      <c r="I14" s="35">
        <f t="shared" si="2"/>
        <v>0.87832273857424303</v>
      </c>
      <c r="L14" s="137"/>
      <c r="M14" s="137"/>
      <c r="N14" s="137"/>
      <c r="O14" s="137"/>
      <c r="P14" s="137"/>
      <c r="Q14" s="138"/>
    </row>
    <row r="15" spans="1:19" s="5" customFormat="1" x14ac:dyDescent="0.25">
      <c r="A15" s="6" t="s">
        <v>15</v>
      </c>
      <c r="B15" s="7">
        <v>17696254.909999996</v>
      </c>
      <c r="C15" s="7">
        <v>17623021.429999996</v>
      </c>
      <c r="D15" s="7">
        <v>1078797.4799999997</v>
      </c>
      <c r="E15" s="7">
        <v>3942889.9900000035</v>
      </c>
      <c r="F15" s="7">
        <v>368535.21999999991</v>
      </c>
      <c r="G15" s="7">
        <f t="shared" si="0"/>
        <v>4311425.2100000037</v>
      </c>
      <c r="H15" s="7">
        <f t="shared" si="4"/>
        <v>13311596.219999991</v>
      </c>
      <c r="I15" s="35">
        <f t="shared" si="2"/>
        <v>0.75535266599287076</v>
      </c>
      <c r="L15" s="137"/>
      <c r="M15" s="137"/>
      <c r="N15" s="137"/>
      <c r="O15" s="137"/>
      <c r="P15" s="137"/>
      <c r="Q15" s="138"/>
    </row>
    <row r="16" spans="1:19" s="5" customFormat="1" x14ac:dyDescent="0.2">
      <c r="A16" s="6" t="s">
        <v>16</v>
      </c>
      <c r="B16" s="7">
        <v>1041887.36</v>
      </c>
      <c r="C16" s="7">
        <v>1048179.36</v>
      </c>
      <c r="D16" s="7">
        <v>615.90000000000009</v>
      </c>
      <c r="E16" s="7">
        <v>615.90000000000009</v>
      </c>
      <c r="F16" s="7">
        <v>1115</v>
      </c>
      <c r="G16" s="7">
        <f t="shared" si="0"/>
        <v>1730.9</v>
      </c>
      <c r="H16" s="7">
        <f t="shared" si="4"/>
        <v>1046448.46</v>
      </c>
      <c r="I16" s="35">
        <f t="shared" si="2"/>
        <v>0.99834866048116033</v>
      </c>
      <c r="M16" s="138"/>
      <c r="N16" s="138"/>
      <c r="O16" s="138"/>
      <c r="P16" s="138"/>
      <c r="Q16" s="138"/>
    </row>
    <row r="17" spans="1:21" s="5" customFormat="1" x14ac:dyDescent="0.2">
      <c r="A17" s="6" t="s">
        <v>17</v>
      </c>
      <c r="B17" s="7">
        <v>16806266.969999984</v>
      </c>
      <c r="C17" s="7">
        <v>16806910.719999984</v>
      </c>
      <c r="D17" s="7">
        <v>1471291.5800000017</v>
      </c>
      <c r="E17" s="7">
        <v>1691559.8900000027</v>
      </c>
      <c r="F17" s="7">
        <v>55498.239999999991</v>
      </c>
      <c r="G17" s="7">
        <f t="shared" si="0"/>
        <v>1747058.1300000027</v>
      </c>
      <c r="H17" s="7">
        <f t="shared" si="4"/>
        <v>15059852.589999981</v>
      </c>
      <c r="I17" s="35">
        <f t="shared" si="2"/>
        <v>0.89605120422749507</v>
      </c>
      <c r="M17" s="138"/>
      <c r="N17" s="138"/>
      <c r="O17" s="138"/>
      <c r="P17" s="138"/>
      <c r="Q17" s="138"/>
    </row>
    <row r="18" spans="1:21" s="5" customFormat="1" x14ac:dyDescent="0.2">
      <c r="A18" s="6" t="s">
        <v>18</v>
      </c>
      <c r="B18" s="7">
        <v>63460019.679999761</v>
      </c>
      <c r="C18" s="7">
        <v>63858425.889999762</v>
      </c>
      <c r="D18" s="7">
        <v>2010309.7999999998</v>
      </c>
      <c r="E18" s="7">
        <v>4827455.7000000011</v>
      </c>
      <c r="F18" s="7">
        <v>1327636.0299999993</v>
      </c>
      <c r="G18" s="7">
        <f t="shared" si="0"/>
        <v>6155091.7300000004</v>
      </c>
      <c r="H18" s="7">
        <f t="shared" si="4"/>
        <v>57703334.159999758</v>
      </c>
      <c r="I18" s="35">
        <f t="shared" si="2"/>
        <v>0.90361347552470928</v>
      </c>
      <c r="M18" s="138"/>
      <c r="N18" s="138"/>
      <c r="O18" s="138"/>
      <c r="P18" s="138"/>
      <c r="Q18" s="138"/>
    </row>
    <row r="19" spans="1:21" s="5" customFormat="1" x14ac:dyDescent="0.2">
      <c r="A19" s="6" t="s">
        <v>19</v>
      </c>
      <c r="B19" s="7">
        <v>83936113.200001121</v>
      </c>
      <c r="C19" s="7">
        <v>83906113.200001121</v>
      </c>
      <c r="D19" s="7">
        <v>7179415.1900000004</v>
      </c>
      <c r="E19" s="7">
        <v>16645719.020000014</v>
      </c>
      <c r="F19" s="7">
        <v>0</v>
      </c>
      <c r="G19" s="7">
        <f t="shared" si="0"/>
        <v>16645719.020000014</v>
      </c>
      <c r="H19" s="7">
        <f t="shared" si="4"/>
        <v>67260394.18000111</v>
      </c>
      <c r="I19" s="35">
        <f t="shared" si="2"/>
        <v>0.8016149433555243</v>
      </c>
      <c r="M19" s="138"/>
      <c r="N19" s="138"/>
      <c r="O19" s="138"/>
      <c r="P19" s="138"/>
      <c r="Q19" s="138"/>
    </row>
    <row r="20" spans="1:21" s="5" customFormat="1" x14ac:dyDescent="0.2">
      <c r="A20" s="6" t="s">
        <v>20</v>
      </c>
      <c r="B20" s="7">
        <v>27492238.539999999</v>
      </c>
      <c r="C20" s="7">
        <v>27269020.329999998</v>
      </c>
      <c r="D20" s="7">
        <v>1130009.3099999996</v>
      </c>
      <c r="E20" s="7">
        <v>3513129.430000002</v>
      </c>
      <c r="F20" s="7">
        <v>1284650.4299999995</v>
      </c>
      <c r="G20" s="7">
        <f t="shared" si="0"/>
        <v>4797779.8600000013</v>
      </c>
      <c r="H20" s="7">
        <f t="shared" si="4"/>
        <v>22471240.469999999</v>
      </c>
      <c r="I20" s="35">
        <f t="shared" si="2"/>
        <v>0.82405749081048851</v>
      </c>
      <c r="M20" s="138"/>
      <c r="N20" s="138"/>
      <c r="O20" s="138"/>
      <c r="P20" s="138"/>
      <c r="Q20" s="138"/>
    </row>
    <row r="21" spans="1:21" s="5" customFormat="1" x14ac:dyDescent="0.2">
      <c r="A21" s="6" t="s">
        <v>70</v>
      </c>
      <c r="B21" s="7">
        <v>221490060.35000008</v>
      </c>
      <c r="C21" s="7">
        <v>222314614.85000008</v>
      </c>
      <c r="D21" s="7">
        <v>16514002.62999999</v>
      </c>
      <c r="E21" s="7">
        <v>40579510.829999998</v>
      </c>
      <c r="F21" s="7">
        <v>34240847.829999998</v>
      </c>
      <c r="G21" s="7">
        <f t="shared" si="0"/>
        <v>74820358.659999996</v>
      </c>
      <c r="H21" s="7">
        <f t="shared" si="4"/>
        <v>147494256.19000009</v>
      </c>
      <c r="I21" s="35">
        <f t="shared" si="2"/>
        <v>0.66344831305632912</v>
      </c>
      <c r="M21" s="138"/>
      <c r="N21" s="138"/>
      <c r="O21" s="138"/>
      <c r="P21" s="138"/>
      <c r="Q21" s="138"/>
    </row>
    <row r="22" spans="1:21" s="5" customFormat="1" x14ac:dyDescent="0.2">
      <c r="A22" s="6" t="s">
        <v>21</v>
      </c>
      <c r="B22" s="7">
        <v>79886601</v>
      </c>
      <c r="C22" s="7">
        <v>80325490.519999996</v>
      </c>
      <c r="D22" s="7">
        <v>5651796.7299999995</v>
      </c>
      <c r="E22" s="7">
        <v>11205719.879999999</v>
      </c>
      <c r="F22" s="7">
        <v>7715476.75</v>
      </c>
      <c r="G22" s="7">
        <f t="shared" si="0"/>
        <v>18921196.629999999</v>
      </c>
      <c r="H22" s="7">
        <f t="shared" si="4"/>
        <v>61404293.890000001</v>
      </c>
      <c r="I22" s="35">
        <f t="shared" si="2"/>
        <v>0.76444343498545009</v>
      </c>
      <c r="M22" s="138"/>
      <c r="N22" s="138"/>
      <c r="O22" s="138"/>
      <c r="P22" s="138"/>
      <c r="Q22" s="138"/>
    </row>
    <row r="23" spans="1:21" s="5" customFormat="1" x14ac:dyDescent="0.2">
      <c r="A23" s="6" t="s">
        <v>22</v>
      </c>
      <c r="B23" s="7">
        <v>33141661.300000001</v>
      </c>
      <c r="C23" s="7">
        <v>35801678.210000001</v>
      </c>
      <c r="D23" s="7">
        <v>3093989.68</v>
      </c>
      <c r="E23" s="7">
        <v>7720953.7999999998</v>
      </c>
      <c r="F23" s="7">
        <v>2857712.16</v>
      </c>
      <c r="G23" s="7">
        <f t="shared" si="0"/>
        <v>10578665.960000001</v>
      </c>
      <c r="H23" s="7">
        <f t="shared" si="4"/>
        <v>25223012.25</v>
      </c>
      <c r="I23" s="35">
        <f t="shared" si="2"/>
        <v>0.7045203887385032</v>
      </c>
      <c r="M23" s="138"/>
      <c r="N23" s="138"/>
      <c r="O23" s="138"/>
      <c r="P23" s="138"/>
      <c r="Q23" s="138"/>
    </row>
    <row r="24" spans="1:21" s="5" customFormat="1" x14ac:dyDescent="0.25">
      <c r="A24" s="6" t="s">
        <v>23</v>
      </c>
      <c r="B24" s="7">
        <v>3431416.47</v>
      </c>
      <c r="C24" s="7">
        <v>3320416.47</v>
      </c>
      <c r="D24" s="7">
        <v>125035.29000000001</v>
      </c>
      <c r="E24" s="7">
        <v>186786.29</v>
      </c>
      <c r="F24" s="7">
        <v>0</v>
      </c>
      <c r="G24" s="7">
        <f t="shared" si="0"/>
        <v>186786.29</v>
      </c>
      <c r="H24" s="7">
        <f t="shared" si="4"/>
        <v>3133630.18</v>
      </c>
      <c r="I24" s="35">
        <f t="shared" si="2"/>
        <v>0.94374612591895735</v>
      </c>
      <c r="L24" s="1"/>
      <c r="M24" s="137"/>
      <c r="N24" s="137"/>
      <c r="O24" s="137"/>
      <c r="P24" s="137"/>
      <c r="Q24" s="137"/>
    </row>
    <row r="25" spans="1:21" s="5" customFormat="1" x14ac:dyDescent="0.25">
      <c r="A25" s="6" t="s">
        <v>29</v>
      </c>
      <c r="B25" s="7">
        <v>335000</v>
      </c>
      <c r="C25" s="7">
        <v>335000</v>
      </c>
      <c r="D25" s="7">
        <v>4799.2499999999973</v>
      </c>
      <c r="E25" s="7">
        <v>4799.2499999999973</v>
      </c>
      <c r="F25" s="7">
        <v>0</v>
      </c>
      <c r="G25" s="7">
        <f t="shared" si="0"/>
        <v>4799.2499999999973</v>
      </c>
      <c r="H25" s="7">
        <f t="shared" si="4"/>
        <v>330200.75</v>
      </c>
      <c r="I25" s="35">
        <f t="shared" si="2"/>
        <v>0.98567388059701488</v>
      </c>
      <c r="L25" s="1"/>
      <c r="M25" s="137"/>
      <c r="N25" s="137"/>
      <c r="O25" s="137"/>
      <c r="P25" s="137"/>
      <c r="Q25" s="137"/>
    </row>
    <row r="26" spans="1:21" s="5" customFormat="1" x14ac:dyDescent="0.25">
      <c r="A26" s="6" t="s">
        <v>30</v>
      </c>
      <c r="B26" s="7">
        <v>61672.05</v>
      </c>
      <c r="C26" s="7">
        <v>61672.05</v>
      </c>
      <c r="D26" s="7">
        <v>0</v>
      </c>
      <c r="E26" s="7">
        <v>0</v>
      </c>
      <c r="F26" s="7">
        <v>0</v>
      </c>
      <c r="G26" s="7">
        <f t="shared" ref="G26" si="5">SUM(E26:F26)</f>
        <v>0</v>
      </c>
      <c r="H26" s="7">
        <f t="shared" ref="H26" si="6">C26-G26</f>
        <v>61672.05</v>
      </c>
      <c r="I26" s="35">
        <f t="shared" ref="I26" si="7">IF(C26=0,"NA",H26/C26)</f>
        <v>1</v>
      </c>
      <c r="K26" s="1"/>
      <c r="L26" s="1"/>
      <c r="M26" s="137"/>
      <c r="N26" s="137"/>
      <c r="O26" s="137"/>
      <c r="P26" s="137"/>
      <c r="Q26" s="137"/>
      <c r="R26" s="1"/>
    </row>
    <row r="27" spans="1:21" s="5" customFormat="1" x14ac:dyDescent="0.25">
      <c r="A27" s="6" t="s">
        <v>25</v>
      </c>
      <c r="B27" s="7">
        <v>8341293.6000000006</v>
      </c>
      <c r="C27" s="7">
        <v>8341293.6000000006</v>
      </c>
      <c r="D27" s="7">
        <v>0</v>
      </c>
      <c r="E27" s="7">
        <v>518765.78</v>
      </c>
      <c r="F27" s="7">
        <v>0</v>
      </c>
      <c r="G27" s="7">
        <f t="shared" si="0"/>
        <v>518765.78</v>
      </c>
      <c r="H27" s="7">
        <f t="shared" si="4"/>
        <v>7822527.8200000003</v>
      </c>
      <c r="I27" s="35">
        <f t="shared" si="2"/>
        <v>0.93780751465216372</v>
      </c>
      <c r="K27" s="1"/>
      <c r="L27" s="1"/>
      <c r="M27" s="137"/>
      <c r="N27" s="137"/>
      <c r="O27" s="137"/>
      <c r="P27" s="137"/>
      <c r="Q27" s="137"/>
      <c r="R27" s="1"/>
    </row>
    <row r="28" spans="1:21" s="5" customFormat="1" x14ac:dyDescent="0.25">
      <c r="A28" s="6" t="s">
        <v>24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0"/>
        <v>0</v>
      </c>
      <c r="H28" s="7">
        <f t="shared" si="4"/>
        <v>0</v>
      </c>
      <c r="I28" s="35" t="str">
        <f t="shared" si="2"/>
        <v>NA</v>
      </c>
      <c r="K28" s="1"/>
      <c r="L28" s="1"/>
      <c r="M28" s="137"/>
      <c r="N28" s="137"/>
      <c r="O28" s="137"/>
      <c r="P28" s="137"/>
      <c r="Q28" s="137"/>
      <c r="R28" s="1"/>
    </row>
    <row r="29" spans="1:21" s="5" customFormat="1" ht="24.95" customHeight="1" x14ac:dyDescent="0.25">
      <c r="A29" s="10" t="s">
        <v>26</v>
      </c>
      <c r="B29" s="11">
        <f t="shared" ref="B29:H29" si="8">SUM(B13:B28)</f>
        <v>1474367167.4400113</v>
      </c>
      <c r="C29" s="11">
        <f t="shared" si="8"/>
        <v>1474839611.4200113</v>
      </c>
      <c r="D29" s="11">
        <f t="shared" si="8"/>
        <v>123533366.30999987</v>
      </c>
      <c r="E29" s="11">
        <f t="shared" si="8"/>
        <v>205323440.47000062</v>
      </c>
      <c r="F29" s="11">
        <f t="shared" si="8"/>
        <v>59839539.719999999</v>
      </c>
      <c r="G29" s="11">
        <f t="shared" si="8"/>
        <v>265162980.19000059</v>
      </c>
      <c r="H29" s="11">
        <f t="shared" si="8"/>
        <v>1209676631.230011</v>
      </c>
      <c r="I29" s="36">
        <f>IF(C29=0,"NA",H29/C29)</f>
        <v>0.82020893788261151</v>
      </c>
      <c r="L29" s="1"/>
      <c r="M29" s="1"/>
      <c r="N29" s="1"/>
      <c r="O29" s="1"/>
      <c r="P29" s="1"/>
      <c r="Q29" s="1"/>
      <c r="R29" s="1"/>
      <c r="S29" s="1"/>
    </row>
    <row r="30" spans="1:21" s="5" customFormat="1" x14ac:dyDescent="0.25">
      <c r="A30" s="12"/>
      <c r="B30" s="13"/>
      <c r="C30" s="13"/>
      <c r="D30" s="13"/>
      <c r="E30" s="13"/>
      <c r="F30" s="13"/>
      <c r="G30" s="13"/>
      <c r="H30" s="13"/>
      <c r="I30" s="15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1" s="5" customFormat="1" ht="24.95" customHeight="1" x14ac:dyDescent="0.25">
      <c r="A31" s="6" t="s">
        <v>27</v>
      </c>
      <c r="B31" s="7">
        <f>B12-B29</f>
        <v>-19688432.610011339</v>
      </c>
      <c r="C31" s="7">
        <f>C12-C29</f>
        <v>-19870548.590011358</v>
      </c>
      <c r="D31" s="7">
        <f>D12-D29</f>
        <v>30531495.490000114</v>
      </c>
      <c r="E31" s="7">
        <f>E12-E29</f>
        <v>-15537686.130000621</v>
      </c>
      <c r="F31" s="7"/>
      <c r="G31" s="7">
        <f>G12-G29</f>
        <v>-75377225.85000059</v>
      </c>
      <c r="H31" s="7"/>
      <c r="I31" s="16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1" s="5" customFormat="1" x14ac:dyDescent="0.25">
      <c r="A32" s="8"/>
      <c r="B32" s="9"/>
      <c r="C32" s="9"/>
      <c r="D32" s="9"/>
      <c r="E32" s="9"/>
      <c r="F32" s="9"/>
      <c r="G32" s="9"/>
      <c r="H32" s="9"/>
      <c r="I32" s="1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s="5" customFormat="1" x14ac:dyDescent="0.25">
      <c r="A33" s="146" t="s">
        <v>67</v>
      </c>
      <c r="B33" s="20"/>
      <c r="C33" s="20"/>
      <c r="D33" s="20"/>
      <c r="E33" s="20">
        <v>412832666</v>
      </c>
      <c r="F33" s="20"/>
      <c r="G33" s="20">
        <f>E33</f>
        <v>412832666</v>
      </c>
      <c r="H33" s="20"/>
      <c r="I33" s="2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s="5" customFormat="1" x14ac:dyDescent="0.25">
      <c r="A34" s="146" t="s">
        <v>68</v>
      </c>
      <c r="B34" s="20"/>
      <c r="C34" s="20"/>
      <c r="D34" s="20"/>
      <c r="E34" s="20">
        <v>45000000</v>
      </c>
      <c r="F34" s="20"/>
      <c r="G34" s="20">
        <f>E34</f>
        <v>45000000</v>
      </c>
      <c r="H34" s="20"/>
      <c r="I34" s="2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s="5" customFormat="1" ht="24.75" customHeight="1" x14ac:dyDescent="0.25">
      <c r="A35" s="18" t="s">
        <v>69</v>
      </c>
      <c r="B35" s="20"/>
      <c r="C35" s="20"/>
      <c r="D35" s="20"/>
      <c r="E35" s="20">
        <f>E33-E34</f>
        <v>367832666</v>
      </c>
      <c r="F35" s="20"/>
      <c r="G35" s="20">
        <f>E35</f>
        <v>367832666</v>
      </c>
      <c r="H35" s="20"/>
      <c r="I35" s="2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s="5" customFormat="1" ht="27.75" customHeight="1" thickBot="1" x14ac:dyDescent="0.3">
      <c r="A36" s="22" t="s">
        <v>28</v>
      </c>
      <c r="B36" s="24"/>
      <c r="C36" s="24"/>
      <c r="D36" s="24"/>
      <c r="E36" s="24">
        <f>+E35+E31</f>
        <v>352294979.86999941</v>
      </c>
      <c r="F36" s="24"/>
      <c r="G36" s="24">
        <f>+G35+G31</f>
        <v>292455440.14999938</v>
      </c>
      <c r="H36" s="24"/>
      <c r="I36" s="25"/>
      <c r="K36" s="1"/>
      <c r="L36" s="137"/>
      <c r="M36" s="137"/>
      <c r="N36" s="137"/>
      <c r="O36" s="137"/>
      <c r="P36" s="1"/>
      <c r="Q36" s="1"/>
      <c r="R36" s="1"/>
      <c r="S36" s="1"/>
      <c r="T36" s="1"/>
      <c r="U36" s="1"/>
    </row>
    <row r="37" spans="1:21" x14ac:dyDescent="0.25">
      <c r="A37" s="5"/>
      <c r="B37" s="33"/>
      <c r="C37" s="33"/>
      <c r="D37" s="33"/>
      <c r="E37" s="33"/>
      <c r="F37" s="33"/>
      <c r="G37" s="33"/>
      <c r="H37" s="33"/>
      <c r="I37" s="5"/>
      <c r="J37" s="5"/>
      <c r="M37" s="1"/>
      <c r="N37" s="1"/>
      <c r="O37" s="1"/>
      <c r="P37" s="1"/>
      <c r="Q37" s="1"/>
    </row>
    <row r="38" spans="1:21" x14ac:dyDescent="0.25">
      <c r="B38" s="137"/>
      <c r="C38" s="137"/>
      <c r="D38" s="137"/>
      <c r="E38" s="137"/>
      <c r="F38" s="137"/>
      <c r="G38" s="137"/>
      <c r="H38" s="137"/>
      <c r="L38" s="137"/>
      <c r="M38" s="1"/>
      <c r="N38" s="1"/>
      <c r="O38" s="1"/>
      <c r="P38" s="1"/>
      <c r="Q38" s="1"/>
    </row>
    <row r="39" spans="1:21" x14ac:dyDescent="0.25">
      <c r="B39" s="137"/>
      <c r="C39" s="137"/>
      <c r="D39" s="137"/>
      <c r="E39" s="137"/>
      <c r="F39" s="137"/>
      <c r="G39" s="1"/>
      <c r="H39" s="1"/>
      <c r="L39" s="137"/>
      <c r="M39" s="1"/>
      <c r="N39" s="1"/>
      <c r="O39" s="1"/>
      <c r="P39" s="1"/>
      <c r="Q39" s="1"/>
    </row>
    <row r="40" spans="1:21" x14ac:dyDescent="0.25">
      <c r="B40" s="137"/>
      <c r="C40" s="137"/>
      <c r="D40" s="137"/>
      <c r="E40" s="137"/>
      <c r="F40" s="137"/>
      <c r="G40" s="1"/>
      <c r="H40" s="1"/>
      <c r="K40" s="137"/>
      <c r="L40" s="137"/>
      <c r="M40" s="1"/>
      <c r="N40" s="1"/>
      <c r="O40" s="1"/>
      <c r="P40" s="1"/>
      <c r="Q40" s="1"/>
    </row>
    <row r="41" spans="1:21" x14ac:dyDescent="0.25">
      <c r="B41" s="137"/>
      <c r="C41" s="137"/>
      <c r="D41" s="137"/>
      <c r="E41" s="137"/>
      <c r="F41" s="137"/>
      <c r="G41" s="137"/>
      <c r="H41" s="137"/>
      <c r="L41" s="137"/>
      <c r="M41" s="1"/>
      <c r="N41" s="1"/>
      <c r="O41" s="1"/>
      <c r="P41" s="1"/>
      <c r="Q41" s="1"/>
    </row>
    <row r="42" spans="1:21" x14ac:dyDescent="0.25">
      <c r="B42" s="137"/>
      <c r="C42" s="137"/>
      <c r="D42" s="137"/>
      <c r="E42" s="137"/>
      <c r="F42" s="137"/>
      <c r="G42" s="137"/>
      <c r="H42" s="137"/>
      <c r="I42" s="137"/>
      <c r="L42" s="137"/>
      <c r="M42" s="1"/>
      <c r="N42" s="1"/>
      <c r="O42" s="1"/>
      <c r="P42" s="1"/>
      <c r="Q42" s="1"/>
    </row>
    <row r="43" spans="1:21" x14ac:dyDescent="0.25">
      <c r="B43" s="137"/>
      <c r="C43" s="137"/>
      <c r="D43" s="137"/>
      <c r="E43" s="137"/>
      <c r="F43" s="137"/>
      <c r="G43" s="137"/>
      <c r="H43" s="137"/>
      <c r="I43" s="137"/>
      <c r="L43" s="137"/>
      <c r="M43" s="1"/>
      <c r="N43" s="1"/>
      <c r="O43" s="1"/>
      <c r="P43" s="1"/>
      <c r="Q43" s="1"/>
    </row>
    <row r="44" spans="1:21" x14ac:dyDescent="0.25">
      <c r="B44" s="137"/>
      <c r="C44" s="137"/>
      <c r="D44" s="137"/>
      <c r="E44" s="137"/>
      <c r="F44" s="137"/>
      <c r="G44" s="137"/>
      <c r="H44" s="137"/>
      <c r="I44" s="137"/>
      <c r="M44" s="1"/>
      <c r="N44" s="1"/>
      <c r="O44" s="1"/>
      <c r="P44" s="1"/>
      <c r="Q44" s="1"/>
    </row>
    <row r="45" spans="1:21" x14ac:dyDescent="0.25"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M45" s="1"/>
      <c r="N45" s="1"/>
      <c r="O45" s="1"/>
      <c r="P45" s="1"/>
      <c r="Q45" s="1"/>
    </row>
    <row r="46" spans="1:21" x14ac:dyDescent="0.25"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M46" s="1"/>
      <c r="N46" s="1"/>
      <c r="O46" s="1"/>
      <c r="P46" s="1"/>
      <c r="Q46" s="1"/>
    </row>
    <row r="47" spans="1:21" x14ac:dyDescent="0.25"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M47" s="1"/>
      <c r="N47" s="1"/>
      <c r="O47" s="1"/>
      <c r="P47" s="1"/>
      <c r="Q47" s="1"/>
    </row>
    <row r="48" spans="1:21" x14ac:dyDescent="0.25"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M48" s="1"/>
      <c r="N48" s="1"/>
      <c r="O48" s="1"/>
      <c r="P48" s="1"/>
      <c r="Q48" s="1"/>
    </row>
    <row r="49" spans="2:17" x14ac:dyDescent="0.25"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M49" s="1"/>
      <c r="N49" s="1"/>
      <c r="O49" s="1"/>
      <c r="P49" s="1"/>
      <c r="Q49" s="1"/>
    </row>
    <row r="50" spans="2:17" x14ac:dyDescent="0.25"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M50" s="1"/>
      <c r="N50" s="1"/>
      <c r="O50" s="1"/>
      <c r="P50" s="1"/>
      <c r="Q50" s="1"/>
    </row>
    <row r="51" spans="2:17" x14ac:dyDescent="0.25">
      <c r="B51" s="137"/>
      <c r="C51" s="137"/>
      <c r="D51" s="1"/>
      <c r="E51" s="1"/>
      <c r="F51" s="1"/>
      <c r="G51" s="1"/>
      <c r="H51" s="1"/>
      <c r="M51" s="1"/>
      <c r="N51" s="1"/>
      <c r="O51" s="1"/>
      <c r="P51" s="1"/>
      <c r="Q51" s="1"/>
    </row>
    <row r="52" spans="2:17" x14ac:dyDescent="0.25">
      <c r="B52" s="137"/>
      <c r="C52" s="137"/>
      <c r="D52" s="1"/>
      <c r="E52" s="1"/>
      <c r="F52" s="1"/>
      <c r="G52" s="1"/>
      <c r="H52" s="1"/>
      <c r="M52" s="1"/>
      <c r="N52" s="1"/>
      <c r="O52" s="1"/>
      <c r="P52" s="1"/>
      <c r="Q52" s="1"/>
    </row>
    <row r="53" spans="2:17" x14ac:dyDescent="0.25">
      <c r="B53" s="137"/>
      <c r="C53" s="137"/>
      <c r="D53" s="1"/>
      <c r="E53" s="1"/>
      <c r="F53" s="1"/>
      <c r="G53" s="1"/>
      <c r="H53" s="1"/>
      <c r="L53" s="137"/>
      <c r="N53" s="1"/>
      <c r="O53" s="1"/>
      <c r="P53" s="1"/>
      <c r="Q53" s="1"/>
    </row>
    <row r="54" spans="2:17" x14ac:dyDescent="0.25">
      <c r="B54" s="137"/>
      <c r="C54" s="137"/>
      <c r="D54" s="1"/>
      <c r="E54" s="1"/>
      <c r="F54" s="1"/>
      <c r="G54" s="1"/>
      <c r="H54" s="1"/>
      <c r="L54" s="137"/>
      <c r="P54" s="1"/>
      <c r="Q54" s="1"/>
    </row>
    <row r="55" spans="2:17" x14ac:dyDescent="0.25">
      <c r="B55" s="137"/>
      <c r="C55" s="137"/>
      <c r="D55" s="1"/>
      <c r="E55" s="1"/>
      <c r="F55" s="1"/>
      <c r="G55" s="1"/>
      <c r="H55" s="1"/>
      <c r="L55" s="137"/>
      <c r="P55" s="1"/>
      <c r="Q55" s="1"/>
    </row>
    <row r="56" spans="2:17" x14ac:dyDescent="0.25">
      <c r="B56" s="137"/>
      <c r="C56" s="137"/>
      <c r="D56" s="1"/>
      <c r="E56" s="1"/>
      <c r="F56" s="1"/>
      <c r="G56" s="1"/>
      <c r="H56" s="1"/>
    </row>
    <row r="57" spans="2:17" x14ac:dyDescent="0.25">
      <c r="B57" s="137"/>
      <c r="C57" s="137"/>
      <c r="D57" s="137"/>
      <c r="E57" s="137"/>
      <c r="F57" s="1"/>
      <c r="G57" s="1"/>
      <c r="H57" s="1"/>
    </row>
    <row r="58" spans="2:17" x14ac:dyDescent="0.25">
      <c r="B58" s="137"/>
      <c r="C58" s="137"/>
      <c r="D58" s="137"/>
      <c r="E58" s="137"/>
      <c r="F58" s="1"/>
      <c r="G58" s="1"/>
      <c r="H58" s="1"/>
    </row>
    <row r="59" spans="2:17" x14ac:dyDescent="0.25">
      <c r="B59" s="137"/>
      <c r="C59" s="137"/>
      <c r="D59" s="137"/>
      <c r="E59" s="137"/>
      <c r="F59" s="1"/>
      <c r="G59" s="1"/>
      <c r="H59" s="1"/>
    </row>
    <row r="60" spans="2:17" x14ac:dyDescent="0.25">
      <c r="B60" s="137"/>
      <c r="C60" s="137"/>
      <c r="D60" s="137"/>
      <c r="E60" s="137"/>
      <c r="F60" s="1"/>
      <c r="G60" s="1"/>
      <c r="H60" s="137"/>
      <c r="I60" s="137"/>
      <c r="J60" s="137"/>
      <c r="K60" s="137"/>
    </row>
    <row r="61" spans="2:17" x14ac:dyDescent="0.25">
      <c r="B61" s="137"/>
      <c r="C61" s="137"/>
      <c r="D61" s="137"/>
      <c r="E61" s="137"/>
      <c r="F61" s="137"/>
      <c r="G61" s="137"/>
      <c r="H61" s="1"/>
      <c r="I61" s="137"/>
      <c r="J61" s="137"/>
      <c r="K61" s="137"/>
    </row>
    <row r="62" spans="2:17" x14ac:dyDescent="0.25">
      <c r="B62" s="137"/>
      <c r="C62" s="137"/>
      <c r="D62" s="137"/>
      <c r="E62" s="137"/>
      <c r="F62" s="137"/>
      <c r="G62" s="137"/>
      <c r="H62" s="1"/>
      <c r="K62" s="137"/>
    </row>
    <row r="63" spans="2:17" x14ac:dyDescent="0.25">
      <c r="B63" s="137"/>
      <c r="C63" s="137"/>
      <c r="D63" s="137"/>
      <c r="E63" s="137"/>
      <c r="F63" s="137"/>
      <c r="G63" s="137"/>
      <c r="H63" s="137"/>
      <c r="I63" s="137"/>
      <c r="J63" s="137"/>
      <c r="K63" s="137"/>
    </row>
    <row r="64" spans="2:17" x14ac:dyDescent="0.25">
      <c r="B64" s="137"/>
      <c r="C64" s="137"/>
      <c r="D64" s="137"/>
      <c r="E64" s="137"/>
      <c r="F64" s="137"/>
      <c r="G64" s="137"/>
      <c r="H64" s="137"/>
      <c r="I64" s="137"/>
      <c r="J64" s="137"/>
    </row>
    <row r="65" spans="2:10" x14ac:dyDescent="0.25">
      <c r="B65" s="137"/>
      <c r="C65" s="137"/>
      <c r="D65" s="137"/>
      <c r="E65" s="137"/>
      <c r="F65" s="137"/>
      <c r="G65" s="137"/>
      <c r="H65" s="137"/>
      <c r="I65" s="137"/>
      <c r="J65" s="137"/>
    </row>
    <row r="66" spans="2:10" x14ac:dyDescent="0.25">
      <c r="B66" s="137"/>
      <c r="C66" s="137"/>
      <c r="D66" s="137"/>
      <c r="E66" s="137"/>
      <c r="F66" s="137"/>
      <c r="G66" s="137"/>
      <c r="H66" s="137"/>
      <c r="I66" s="137"/>
      <c r="J66" s="137"/>
    </row>
    <row r="67" spans="2:10" x14ac:dyDescent="0.25">
      <c r="B67" s="137"/>
      <c r="C67" s="137"/>
      <c r="D67" s="137"/>
      <c r="E67" s="137"/>
      <c r="F67" s="137"/>
      <c r="G67" s="137"/>
      <c r="H67" s="137"/>
      <c r="I67" s="137"/>
      <c r="J67" s="137"/>
    </row>
    <row r="68" spans="2:10" x14ac:dyDescent="0.25">
      <c r="B68" s="137"/>
      <c r="C68" s="137"/>
      <c r="D68" s="137"/>
      <c r="E68" s="137"/>
      <c r="F68" s="137"/>
      <c r="G68" s="137"/>
      <c r="H68" s="137"/>
      <c r="I68" s="137"/>
      <c r="J68" s="137"/>
    </row>
    <row r="69" spans="2:10" x14ac:dyDescent="0.25">
      <c r="B69" s="137"/>
      <c r="C69" s="137"/>
      <c r="D69" s="137"/>
      <c r="E69" s="137"/>
      <c r="F69" s="137"/>
      <c r="G69" s="137"/>
      <c r="H69" s="137"/>
      <c r="I69" s="137"/>
      <c r="J69" s="137"/>
    </row>
    <row r="70" spans="2:10" x14ac:dyDescent="0.25">
      <c r="B70" s="137"/>
      <c r="C70" s="137"/>
      <c r="D70" s="137"/>
      <c r="E70" s="137"/>
      <c r="F70" s="137"/>
      <c r="G70" s="137"/>
      <c r="H70" s="137"/>
      <c r="I70" s="137"/>
      <c r="J70" s="137"/>
    </row>
    <row r="71" spans="2:10" x14ac:dyDescent="0.25">
      <c r="B71" s="137"/>
      <c r="C71" s="137"/>
      <c r="D71" s="137"/>
      <c r="E71" s="137"/>
      <c r="F71" s="137"/>
      <c r="G71" s="137"/>
      <c r="H71" s="137"/>
      <c r="I71" s="137"/>
      <c r="J71" s="137"/>
    </row>
    <row r="72" spans="2:10" x14ac:dyDescent="0.25">
      <c r="B72" s="137"/>
      <c r="C72" s="137"/>
      <c r="D72" s="137"/>
      <c r="E72" s="137"/>
      <c r="F72" s="137"/>
      <c r="G72" s="137"/>
      <c r="H72" s="137"/>
      <c r="I72" s="137"/>
      <c r="J72" s="137"/>
    </row>
    <row r="73" spans="2:10" x14ac:dyDescent="0.25">
      <c r="B73" s="137"/>
      <c r="C73" s="137"/>
      <c r="D73" s="137"/>
      <c r="E73" s="137"/>
      <c r="F73" s="137"/>
      <c r="G73" s="137"/>
      <c r="H73" s="137"/>
      <c r="I73" s="137"/>
      <c r="J73" s="137"/>
    </row>
    <row r="74" spans="2:10" x14ac:dyDescent="0.25">
      <c r="B74" s="137"/>
      <c r="C74" s="137"/>
      <c r="D74" s="137"/>
      <c r="E74" s="137"/>
      <c r="F74" s="137"/>
      <c r="G74" s="137"/>
      <c r="H74" s="137"/>
      <c r="I74" s="137"/>
      <c r="J74" s="137"/>
    </row>
    <row r="75" spans="2:10" x14ac:dyDescent="0.25">
      <c r="B75" s="137"/>
      <c r="C75" s="137"/>
      <c r="D75" s="137"/>
      <c r="E75" s="137"/>
      <c r="F75" s="137"/>
      <c r="G75" s="137"/>
      <c r="H75" s="137"/>
      <c r="I75" s="137"/>
      <c r="J75" s="137"/>
    </row>
    <row r="76" spans="2:10" x14ac:dyDescent="0.25">
      <c r="B76" s="137"/>
      <c r="C76" s="137"/>
      <c r="D76" s="137"/>
      <c r="E76" s="137"/>
      <c r="F76" s="137"/>
      <c r="G76" s="137"/>
      <c r="H76" s="137"/>
      <c r="I76" s="137"/>
      <c r="J76" s="137"/>
    </row>
    <row r="77" spans="2:10" x14ac:dyDescent="0.25">
      <c r="B77" s="137"/>
      <c r="C77" s="137"/>
      <c r="D77" s="137"/>
      <c r="E77" s="137"/>
      <c r="F77" s="137"/>
      <c r="G77" s="137"/>
      <c r="H77" s="137"/>
      <c r="I77" s="137"/>
      <c r="J77" s="137"/>
    </row>
    <row r="78" spans="2:10" x14ac:dyDescent="0.25">
      <c r="B78" s="137"/>
      <c r="C78" s="137"/>
      <c r="D78" s="137"/>
      <c r="E78" s="137"/>
      <c r="F78" s="137"/>
      <c r="G78" s="137"/>
      <c r="H78" s="137"/>
      <c r="I78" s="137"/>
      <c r="J78" s="137"/>
    </row>
    <row r="79" spans="2:10" x14ac:dyDescent="0.25">
      <c r="B79" s="137"/>
      <c r="C79" s="137"/>
      <c r="D79" s="137"/>
      <c r="E79" s="137"/>
      <c r="F79" s="137"/>
      <c r="G79" s="137"/>
      <c r="H79" s="137"/>
      <c r="I79" s="137"/>
      <c r="J79" s="137"/>
    </row>
    <row r="80" spans="2:10" x14ac:dyDescent="0.25">
      <c r="B80" s="137"/>
      <c r="C80" s="137"/>
      <c r="D80" s="137"/>
      <c r="E80" s="137"/>
      <c r="F80" s="137"/>
      <c r="G80" s="137"/>
      <c r="H80" s="137"/>
      <c r="I80" s="137"/>
      <c r="J80" s="137"/>
    </row>
    <row r="81" spans="2:10" x14ac:dyDescent="0.25">
      <c r="B81" s="137"/>
      <c r="C81" s="137"/>
      <c r="D81" s="137"/>
      <c r="E81" s="137"/>
      <c r="F81" s="137"/>
      <c r="G81" s="137"/>
      <c r="H81" s="137"/>
      <c r="I81" s="137"/>
      <c r="J81" s="137"/>
    </row>
    <row r="82" spans="2:10" x14ac:dyDescent="0.25">
      <c r="B82" s="137"/>
      <c r="C82" s="137"/>
      <c r="D82" s="137"/>
      <c r="E82" s="137"/>
      <c r="F82" s="137"/>
      <c r="G82" s="137"/>
      <c r="H82" s="137"/>
      <c r="I82" s="137"/>
      <c r="J82" s="137"/>
    </row>
    <row r="83" spans="2:10" x14ac:dyDescent="0.25">
      <c r="B83" s="137"/>
      <c r="C83" s="137"/>
      <c r="D83" s="137"/>
      <c r="E83" s="137"/>
      <c r="F83" s="137"/>
      <c r="G83" s="137"/>
      <c r="H83" s="137"/>
      <c r="I83" s="137"/>
      <c r="J83" s="137"/>
    </row>
    <row r="84" spans="2:10" x14ac:dyDescent="0.25">
      <c r="B84" s="137"/>
      <c r="C84" s="137"/>
      <c r="D84" s="137"/>
      <c r="E84" s="137"/>
      <c r="F84" s="137"/>
      <c r="G84" s="137"/>
      <c r="H84" s="137"/>
      <c r="I84" s="137"/>
      <c r="J84" s="137"/>
    </row>
    <row r="85" spans="2:10" x14ac:dyDescent="0.25">
      <c r="B85" s="137"/>
    </row>
    <row r="86" spans="2:10" x14ac:dyDescent="0.25">
      <c r="B86" s="137"/>
    </row>
    <row r="87" spans="2:10" x14ac:dyDescent="0.25">
      <c r="B87" s="137"/>
    </row>
    <row r="88" spans="2:10" x14ac:dyDescent="0.25">
      <c r="B88" s="137"/>
    </row>
    <row r="89" spans="2:10" x14ac:dyDescent="0.25">
      <c r="B89" s="137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workbookViewId="0">
      <selection activeCell="D61" sqref="D61"/>
    </sheetView>
  </sheetViews>
  <sheetFormatPr defaultRowHeight="12.75" x14ac:dyDescent="0.2"/>
  <cols>
    <col min="1" max="1" width="32.42578125" style="51" bestFit="1" customWidth="1"/>
    <col min="2" max="2" width="15.7109375" style="51" customWidth="1"/>
    <col min="3" max="3" width="18.7109375" style="51" customWidth="1"/>
    <col min="4" max="4" width="45.5703125" style="51" bestFit="1" customWidth="1"/>
    <col min="5" max="5" width="16.140625" style="51" customWidth="1"/>
    <col min="6" max="6" width="12.5703125" style="50" customWidth="1"/>
    <col min="7" max="7" width="13.42578125" style="50" bestFit="1" customWidth="1"/>
    <col min="8" max="8" width="14.42578125" style="50" bestFit="1" customWidth="1"/>
    <col min="9" max="9" width="16" style="50" bestFit="1" customWidth="1"/>
    <col min="10" max="10" width="11.7109375" style="50" bestFit="1" customWidth="1"/>
    <col min="11" max="17" width="13.42578125" style="50" bestFit="1" customWidth="1"/>
    <col min="18" max="18" width="69.140625" style="51" customWidth="1"/>
    <col min="19" max="20" width="17" style="99" customWidth="1"/>
    <col min="21" max="21" width="17" style="99" bestFit="1" customWidth="1"/>
    <col min="22" max="16384" width="9.140625" style="51"/>
  </cols>
  <sheetData>
    <row r="1" spans="1:21" ht="21" thickBot="1" x14ac:dyDescent="0.25">
      <c r="A1" s="157" t="s">
        <v>80</v>
      </c>
      <c r="B1" s="158"/>
      <c r="C1" s="158"/>
      <c r="D1" s="158"/>
      <c r="E1" s="158"/>
      <c r="F1" s="158"/>
      <c r="G1" s="159"/>
      <c r="H1" s="49"/>
    </row>
    <row r="2" spans="1:21" x14ac:dyDescent="0.2">
      <c r="A2" s="52"/>
      <c r="B2" s="49"/>
      <c r="C2" s="52"/>
      <c r="D2" s="52"/>
      <c r="E2" s="52"/>
      <c r="F2" s="49"/>
      <c r="G2" s="49"/>
    </row>
    <row r="3" spans="1:21" x14ac:dyDescent="0.2">
      <c r="A3" s="160" t="s">
        <v>35</v>
      </c>
      <c r="B3" s="161"/>
      <c r="C3" s="161"/>
      <c r="D3" s="161"/>
      <c r="E3" s="161"/>
      <c r="F3" s="161"/>
      <c r="G3" s="161"/>
    </row>
    <row r="4" spans="1:21" ht="13.5" thickBot="1" x14ac:dyDescent="0.25">
      <c r="A4" s="52"/>
      <c r="B4" s="49"/>
      <c r="C4" s="52"/>
      <c r="D4" s="52"/>
      <c r="E4" s="52"/>
      <c r="F4" s="49"/>
      <c r="G4" s="49"/>
    </row>
    <row r="5" spans="1:21" ht="26.25" thickBot="1" x14ac:dyDescent="0.25">
      <c r="B5" s="53" t="s">
        <v>36</v>
      </c>
      <c r="C5" s="54" t="s">
        <v>37</v>
      </c>
      <c r="D5" s="52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21" ht="13.5" thickBot="1" x14ac:dyDescent="0.25">
      <c r="A6" s="55" t="s">
        <v>38</v>
      </c>
      <c r="B6" s="56">
        <v>1474839611.4200101</v>
      </c>
      <c r="C6" s="57">
        <f>SUM(F25:Q25)</f>
        <v>205323440.47000051</v>
      </c>
      <c r="D6" s="52"/>
      <c r="E6" s="52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21" ht="26.25" thickBot="1" x14ac:dyDescent="0.25">
      <c r="B7" s="49"/>
      <c r="C7" s="58"/>
      <c r="D7" s="59"/>
      <c r="E7" s="60" t="s">
        <v>39</v>
      </c>
      <c r="F7" s="61" t="s">
        <v>40</v>
      </c>
      <c r="G7" s="62" t="s">
        <v>41</v>
      </c>
      <c r="H7" s="62" t="s">
        <v>42</v>
      </c>
      <c r="I7" s="62" t="s">
        <v>43</v>
      </c>
      <c r="J7" s="62" t="s">
        <v>44</v>
      </c>
      <c r="K7" s="62" t="s">
        <v>45</v>
      </c>
      <c r="L7" s="62" t="s">
        <v>46</v>
      </c>
      <c r="M7" s="62" t="s">
        <v>47</v>
      </c>
      <c r="N7" s="62" t="s">
        <v>48</v>
      </c>
      <c r="O7" s="62" t="s">
        <v>49</v>
      </c>
      <c r="P7" s="62" t="s">
        <v>50</v>
      </c>
      <c r="Q7" s="63" t="s">
        <v>51</v>
      </c>
    </row>
    <row r="8" spans="1:21" x14ac:dyDescent="0.2">
      <c r="B8" s="50"/>
      <c r="D8" s="52"/>
      <c r="E8" s="64"/>
      <c r="P8" s="51"/>
      <c r="Q8" s="51"/>
    </row>
    <row r="9" spans="1:21" x14ac:dyDescent="0.2">
      <c r="B9" s="50"/>
      <c r="D9" s="52" t="s">
        <v>13</v>
      </c>
      <c r="E9" s="65">
        <f>SUM(F9:Q9)</f>
        <v>104174307.3900006</v>
      </c>
      <c r="F9" s="50">
        <f>12213444.82+3580.9499999471</f>
        <v>12217025.769999947</v>
      </c>
      <c r="G9" s="50">
        <f>13942179.5599998+15081.1700010001</f>
        <v>13957260.7300008</v>
      </c>
      <c r="H9" s="50">
        <v>78000020.889999852</v>
      </c>
      <c r="P9" s="51"/>
      <c r="Q9" s="99"/>
      <c r="R9" s="51" t="s">
        <v>13</v>
      </c>
      <c r="S9" s="99">
        <v>104174307.39000055</v>
      </c>
      <c r="T9" s="99">
        <f>S9-E9</f>
        <v>0</v>
      </c>
      <c r="U9" s="99">
        <v>15081.1700010001</v>
      </c>
    </row>
    <row r="10" spans="1:21" x14ac:dyDescent="0.2">
      <c r="B10" s="50"/>
      <c r="D10" s="52" t="s">
        <v>14</v>
      </c>
      <c r="E10" s="65">
        <f t="shared" ref="E10:E24" si="0">SUM(F10:Q10)</f>
        <v>10311227.320000004</v>
      </c>
      <c r="F10" s="50">
        <f>924891.19+1130.54999999981</f>
        <v>926021.73999999976</v>
      </c>
      <c r="G10" s="50">
        <f>2100394.27+11528.7300000078</f>
        <v>2111923.0000000079</v>
      </c>
      <c r="H10" s="50">
        <v>7273282.5799999973</v>
      </c>
      <c r="P10" s="51"/>
      <c r="Q10" s="99"/>
      <c r="R10" s="51" t="s">
        <v>14</v>
      </c>
      <c r="S10" s="99">
        <v>10311227.320000004</v>
      </c>
      <c r="T10" s="99">
        <f t="shared" ref="T10:T24" si="1">S10-E10</f>
        <v>0</v>
      </c>
      <c r="U10" s="99">
        <v>11528.730000007799</v>
      </c>
    </row>
    <row r="11" spans="1:21" x14ac:dyDescent="0.2">
      <c r="B11" s="50"/>
      <c r="D11" s="52" t="s">
        <v>15</v>
      </c>
      <c r="E11" s="65">
        <f t="shared" si="0"/>
        <v>3942889.990000003</v>
      </c>
      <c r="F11" s="50">
        <f>846901.83+38204.7099999999</f>
        <v>885106.5399999998</v>
      </c>
      <c r="G11" s="50">
        <f>1988564.9-9578.92999999644</f>
        <v>1978985.9700000035</v>
      </c>
      <c r="H11" s="50">
        <v>1078797.4799999997</v>
      </c>
      <c r="P11" s="51"/>
      <c r="Q11" s="99"/>
      <c r="R11" s="51" t="s">
        <v>15</v>
      </c>
      <c r="S11" s="99">
        <v>3942889.9900000035</v>
      </c>
      <c r="T11" s="99">
        <f t="shared" si="1"/>
        <v>0</v>
      </c>
      <c r="U11" s="99">
        <v>-9578.9299999964405</v>
      </c>
    </row>
    <row r="12" spans="1:21" x14ac:dyDescent="0.2">
      <c r="B12" s="50"/>
      <c r="D12" s="52" t="s">
        <v>16</v>
      </c>
      <c r="E12" s="65">
        <f t="shared" si="0"/>
        <v>615.90000000000009</v>
      </c>
      <c r="F12" s="50">
        <v>0</v>
      </c>
      <c r="G12" s="50">
        <v>0</v>
      </c>
      <c r="H12" s="50">
        <v>615.90000000000009</v>
      </c>
      <c r="P12" s="51"/>
      <c r="Q12" s="99"/>
      <c r="R12" s="51" t="s">
        <v>16</v>
      </c>
      <c r="S12" s="99">
        <v>615.90000000000009</v>
      </c>
      <c r="T12" s="99">
        <f t="shared" si="1"/>
        <v>0</v>
      </c>
      <c r="U12" s="99">
        <v>0</v>
      </c>
    </row>
    <row r="13" spans="1:21" x14ac:dyDescent="0.2">
      <c r="B13" s="50"/>
      <c r="D13" s="52" t="s">
        <v>17</v>
      </c>
      <c r="E13" s="65">
        <f t="shared" si="0"/>
        <v>1691559.8900000025</v>
      </c>
      <c r="F13" s="50">
        <v>98846.819999999963</v>
      </c>
      <c r="G13" s="50">
        <f>121124.5+296.990000000922</f>
        <v>121421.49000000092</v>
      </c>
      <c r="H13" s="50">
        <v>1471291.5800000017</v>
      </c>
      <c r="P13" s="51"/>
      <c r="Q13" s="99"/>
      <c r="R13" s="51" t="s">
        <v>17</v>
      </c>
      <c r="S13" s="99">
        <v>1691559.8900000027</v>
      </c>
      <c r="T13" s="99">
        <f t="shared" si="1"/>
        <v>0</v>
      </c>
      <c r="U13" s="99">
        <v>296.99000000092201</v>
      </c>
    </row>
    <row r="14" spans="1:21" x14ac:dyDescent="0.2">
      <c r="B14" s="50"/>
      <c r="D14" s="52" t="s">
        <v>18</v>
      </c>
      <c r="E14" s="65">
        <f t="shared" si="0"/>
        <v>4827455.6999999993</v>
      </c>
      <c r="F14" s="50">
        <f>1033434.45+9553.50999999977</f>
        <v>1042987.9599999997</v>
      </c>
      <c r="G14" s="50">
        <f>1770620.04+3537.89999999944</f>
        <v>1774157.9399999995</v>
      </c>
      <c r="H14" s="50">
        <v>2010309.7999999998</v>
      </c>
      <c r="P14" s="51"/>
      <c r="Q14" s="99"/>
      <c r="R14" s="51" t="s">
        <v>18</v>
      </c>
      <c r="S14" s="99">
        <v>4827455.7000000011</v>
      </c>
      <c r="T14" s="99">
        <f t="shared" si="1"/>
        <v>0</v>
      </c>
      <c r="U14" s="99">
        <v>3537.8999999994398</v>
      </c>
    </row>
    <row r="15" spans="1:21" x14ac:dyDescent="0.2">
      <c r="A15" s="66" t="s">
        <v>52</v>
      </c>
      <c r="B15" s="130">
        <f>B6-C6</f>
        <v>1269516170.9500096</v>
      </c>
      <c r="C15" s="67">
        <f>B15/$B$6</f>
        <v>0.86078252924580034</v>
      </c>
      <c r="D15" s="52" t="s">
        <v>19</v>
      </c>
      <c r="E15" s="65">
        <f t="shared" si="0"/>
        <v>16645719.019999895</v>
      </c>
      <c r="F15" s="50">
        <v>2728240.7999999961</v>
      </c>
      <c r="G15" s="50">
        <v>6738063.0299998978</v>
      </c>
      <c r="H15" s="50">
        <v>7179415.1900000004</v>
      </c>
      <c r="P15" s="51"/>
      <c r="Q15" s="99"/>
      <c r="R15" s="51" t="s">
        <v>19</v>
      </c>
      <c r="S15" s="99">
        <v>16645719.020000014</v>
      </c>
      <c r="T15" s="99">
        <f t="shared" si="1"/>
        <v>1.1920928955078125E-7</v>
      </c>
      <c r="U15" s="99">
        <v>1.1920928955078125E-7</v>
      </c>
    </row>
    <row r="16" spans="1:21" x14ac:dyDescent="0.2">
      <c r="A16" s="66" t="s">
        <v>53</v>
      </c>
      <c r="B16" s="130">
        <f>C6</f>
        <v>205323440.47000051</v>
      </c>
      <c r="C16" s="67">
        <f>B16/$B$6</f>
        <v>0.13921747075419971</v>
      </c>
      <c r="D16" s="52" t="s">
        <v>20</v>
      </c>
      <c r="E16" s="65">
        <f t="shared" si="0"/>
        <v>3513129.4300000025</v>
      </c>
      <c r="F16" s="50">
        <f>853765.21+939.729999999515</f>
        <v>854704.93999999948</v>
      </c>
      <c r="G16" s="50">
        <f>1525647.01+2768.17000000318</f>
        <v>1528415.1800000032</v>
      </c>
      <c r="H16" s="50">
        <v>1130009.3099999996</v>
      </c>
      <c r="P16" s="51"/>
      <c r="Q16" s="99"/>
      <c r="R16" s="51" t="s">
        <v>20</v>
      </c>
      <c r="S16" s="99">
        <v>3513129.430000002</v>
      </c>
      <c r="T16" s="99">
        <f t="shared" si="1"/>
        <v>0</v>
      </c>
      <c r="U16" s="99">
        <v>2768.1700000031801</v>
      </c>
    </row>
    <row r="17" spans="1:21" x14ac:dyDescent="0.2">
      <c r="A17" s="52"/>
      <c r="B17" s="49"/>
      <c r="C17" s="52"/>
      <c r="D17" s="68" t="s">
        <v>54</v>
      </c>
      <c r="E17" s="65">
        <f t="shared" si="0"/>
        <v>40579510.829999991</v>
      </c>
      <c r="F17" s="50">
        <f>7984064.69+7975.93999999389</f>
        <v>7992040.6299999943</v>
      </c>
      <c r="G17" s="50">
        <f>16073176.09+291.480000004172</f>
        <v>16073467.570000004</v>
      </c>
      <c r="H17" s="50">
        <v>16514002.62999999</v>
      </c>
      <c r="P17" s="51"/>
      <c r="Q17" s="99"/>
      <c r="R17" s="51" t="s">
        <v>54</v>
      </c>
      <c r="S17" s="99">
        <v>40579510.829999998</v>
      </c>
      <c r="T17" s="99">
        <f t="shared" si="1"/>
        <v>0</v>
      </c>
      <c r="U17" s="99">
        <v>291.48000000417198</v>
      </c>
    </row>
    <row r="18" spans="1:21" x14ac:dyDescent="0.2">
      <c r="B18" s="69"/>
      <c r="C18" s="52"/>
      <c r="D18" s="52" t="s">
        <v>21</v>
      </c>
      <c r="E18" s="65">
        <f t="shared" si="0"/>
        <v>11205719.879999999</v>
      </c>
      <c r="F18" s="50">
        <v>2493217.9699999997</v>
      </c>
      <c r="G18" s="50">
        <f>3060293.28+411.899999998509</f>
        <v>3060705.1799999983</v>
      </c>
      <c r="H18" s="50">
        <v>5651796.7299999995</v>
      </c>
      <c r="P18" s="51"/>
      <c r="Q18" s="99"/>
      <c r="R18" s="51" t="s">
        <v>21</v>
      </c>
      <c r="S18" s="99">
        <v>11205719.879999999</v>
      </c>
      <c r="T18" s="99">
        <f t="shared" si="1"/>
        <v>0</v>
      </c>
      <c r="U18" s="99">
        <v>411.89999999850897</v>
      </c>
    </row>
    <row r="19" spans="1:21" x14ac:dyDescent="0.2">
      <c r="A19" s="52"/>
      <c r="B19" s="49"/>
      <c r="C19" s="52"/>
      <c r="D19" s="52" t="s">
        <v>22</v>
      </c>
      <c r="E19" s="65">
        <f t="shared" si="0"/>
        <v>7720953.799999997</v>
      </c>
      <c r="F19" s="50">
        <f>1964459.35-5472.81999999936</f>
        <v>1958986.5300000007</v>
      </c>
      <c r="G19" s="50">
        <f>2685579.75-17602.1600000029</f>
        <v>2667977.5899999971</v>
      </c>
      <c r="H19" s="50">
        <v>3093989.68</v>
      </c>
      <c r="P19" s="51"/>
      <c r="Q19" s="99"/>
      <c r="R19" s="51" t="s">
        <v>22</v>
      </c>
      <c r="S19" s="99">
        <v>7720953.7999999998</v>
      </c>
      <c r="T19" s="99">
        <f t="shared" si="1"/>
        <v>0</v>
      </c>
      <c r="U19" s="99">
        <v>-17602.160000002899</v>
      </c>
    </row>
    <row r="20" spans="1:21" x14ac:dyDescent="0.2">
      <c r="A20" s="52"/>
      <c r="B20" s="49"/>
      <c r="C20" s="52"/>
      <c r="D20" s="52" t="s">
        <v>23</v>
      </c>
      <c r="E20" s="65">
        <f t="shared" si="0"/>
        <v>186786.29</v>
      </c>
      <c r="F20" s="50">
        <v>13353.82</v>
      </c>
      <c r="G20" s="50">
        <v>48397.18</v>
      </c>
      <c r="H20" s="50">
        <v>125035.29000000001</v>
      </c>
      <c r="P20" s="51"/>
      <c r="Q20" s="99"/>
      <c r="R20" s="51" t="s">
        <v>23</v>
      </c>
      <c r="S20" s="99">
        <v>186786.29</v>
      </c>
      <c r="T20" s="99">
        <f t="shared" si="1"/>
        <v>0</v>
      </c>
      <c r="U20" s="99">
        <v>0</v>
      </c>
    </row>
    <row r="21" spans="1:21" x14ac:dyDescent="0.2">
      <c r="A21" s="52"/>
      <c r="B21" s="49"/>
      <c r="C21" s="52"/>
      <c r="D21" s="52" t="s">
        <v>29</v>
      </c>
      <c r="E21" s="65">
        <f t="shared" si="0"/>
        <v>4799.2499999999973</v>
      </c>
      <c r="F21" s="50">
        <v>0</v>
      </c>
      <c r="G21" s="50">
        <v>0</v>
      </c>
      <c r="H21" s="50">
        <v>4799.2499999999973</v>
      </c>
      <c r="P21" s="51"/>
      <c r="Q21" s="99"/>
      <c r="R21" s="51" t="s">
        <v>29</v>
      </c>
      <c r="S21" s="99">
        <v>4799.2499999999973</v>
      </c>
      <c r="T21" s="99">
        <f t="shared" si="1"/>
        <v>0</v>
      </c>
      <c r="U21" s="99">
        <v>0</v>
      </c>
    </row>
    <row r="22" spans="1:21" x14ac:dyDescent="0.2">
      <c r="A22" s="52"/>
      <c r="B22" s="49"/>
      <c r="C22" s="52"/>
      <c r="D22" s="52" t="s">
        <v>30</v>
      </c>
      <c r="E22" s="65">
        <f t="shared" si="0"/>
        <v>0</v>
      </c>
      <c r="F22" s="50">
        <v>0</v>
      </c>
      <c r="G22" s="50">
        <v>0</v>
      </c>
      <c r="H22" s="50">
        <v>0</v>
      </c>
      <c r="P22" s="51"/>
      <c r="Q22" s="99"/>
      <c r="R22" s="51" t="s">
        <v>30</v>
      </c>
      <c r="S22" s="99">
        <v>0</v>
      </c>
      <c r="T22" s="99">
        <f t="shared" si="1"/>
        <v>0</v>
      </c>
      <c r="U22" s="99">
        <v>0</v>
      </c>
    </row>
    <row r="23" spans="1:21" x14ac:dyDescent="0.2">
      <c r="A23" s="52"/>
      <c r="B23" s="49"/>
      <c r="C23" s="52"/>
      <c r="D23" s="52" t="s">
        <v>25</v>
      </c>
      <c r="E23" s="65">
        <f t="shared" si="0"/>
        <v>518765.78</v>
      </c>
      <c r="F23" s="50">
        <v>-431234.22</v>
      </c>
      <c r="G23" s="50">
        <v>950000</v>
      </c>
      <c r="H23" s="50">
        <v>0</v>
      </c>
      <c r="P23" s="51"/>
      <c r="Q23" s="99"/>
      <c r="R23" s="51" t="s">
        <v>25</v>
      </c>
      <c r="S23" s="99">
        <v>518765.78</v>
      </c>
      <c r="T23" s="99">
        <f t="shared" si="1"/>
        <v>0</v>
      </c>
      <c r="U23" s="99">
        <v>0</v>
      </c>
    </row>
    <row r="24" spans="1:21" ht="13.5" thickBot="1" x14ac:dyDescent="0.25">
      <c r="A24" s="52"/>
      <c r="B24" s="49"/>
      <c r="C24" s="52"/>
      <c r="D24" s="52" t="s">
        <v>24</v>
      </c>
      <c r="E24" s="65">
        <f t="shared" si="0"/>
        <v>0</v>
      </c>
      <c r="F24" s="50">
        <v>0</v>
      </c>
      <c r="G24" s="50">
        <v>0</v>
      </c>
      <c r="H24" s="50">
        <v>0</v>
      </c>
      <c r="P24" s="51"/>
      <c r="Q24" s="99"/>
      <c r="R24" s="51" t="s">
        <v>24</v>
      </c>
      <c r="S24" s="99">
        <v>0</v>
      </c>
      <c r="T24" s="99">
        <f t="shared" si="1"/>
        <v>0</v>
      </c>
      <c r="U24" s="99">
        <v>0</v>
      </c>
    </row>
    <row r="25" spans="1:21" ht="13.5" thickBot="1" x14ac:dyDescent="0.25">
      <c r="A25" s="52"/>
      <c r="B25" s="49"/>
      <c r="C25" s="52"/>
      <c r="D25" s="70" t="s">
        <v>55</v>
      </c>
      <c r="E25" s="71">
        <f>SUM(E9:E24)</f>
        <v>205323440.47000051</v>
      </c>
      <c r="F25" s="72">
        <f t="shared" ref="F25:Q25" si="2">SUM(F9:F24)</f>
        <v>30779299.299999937</v>
      </c>
      <c r="G25" s="72">
        <f t="shared" si="2"/>
        <v>51010774.860000715</v>
      </c>
      <c r="H25" s="72">
        <f t="shared" si="2"/>
        <v>123533366.30999987</v>
      </c>
      <c r="I25" s="72">
        <f t="shared" si="2"/>
        <v>0</v>
      </c>
      <c r="J25" s="72">
        <f t="shared" si="2"/>
        <v>0</v>
      </c>
      <c r="K25" s="72">
        <f t="shared" si="2"/>
        <v>0</v>
      </c>
      <c r="L25" s="72">
        <f t="shared" si="2"/>
        <v>0</v>
      </c>
      <c r="M25" s="72">
        <f t="shared" si="2"/>
        <v>0</v>
      </c>
      <c r="N25" s="72">
        <f t="shared" si="2"/>
        <v>0</v>
      </c>
      <c r="O25" s="72">
        <f t="shared" si="2"/>
        <v>0</v>
      </c>
      <c r="P25" s="72">
        <f t="shared" si="2"/>
        <v>0</v>
      </c>
      <c r="Q25" s="72">
        <f t="shared" si="2"/>
        <v>0</v>
      </c>
      <c r="S25" s="127">
        <v>0</v>
      </c>
      <c r="T25" s="127">
        <f t="shared" ref="T25:U25" si="3">SUM(T9:T24)</f>
        <v>1.1920928955078125E-7</v>
      </c>
      <c r="U25" s="127">
        <f t="shared" si="3"/>
        <v>6735.250001133998</v>
      </c>
    </row>
    <row r="26" spans="1:21" x14ac:dyDescent="0.2">
      <c r="A26" s="52"/>
      <c r="B26" s="49"/>
      <c r="C26" s="52"/>
      <c r="D26" s="52"/>
      <c r="E26" s="52"/>
      <c r="F26" s="49"/>
      <c r="G26" s="49"/>
    </row>
    <row r="27" spans="1:21" ht="29.25" customHeight="1" x14ac:dyDescent="0.2">
      <c r="A27" s="11"/>
      <c r="B27" s="162" t="s">
        <v>81</v>
      </c>
      <c r="C27" s="162"/>
      <c r="D27" s="162"/>
      <c r="E27" s="162"/>
      <c r="F27" s="162"/>
      <c r="G27" s="73"/>
    </row>
    <row r="28" spans="1:21" x14ac:dyDescent="0.2">
      <c r="A28" s="52"/>
      <c r="B28" s="49"/>
      <c r="C28" s="52"/>
      <c r="D28" s="52"/>
      <c r="E28" s="132"/>
      <c r="F28" s="49"/>
      <c r="G28" s="49"/>
    </row>
    <row r="29" spans="1:21" ht="29.25" customHeight="1" x14ac:dyDescent="0.2">
      <c r="B29" s="162" t="str">
        <f>"GENERAL OPERATIONS" &amp; " YTD EXPENSES"&amp;CHAR(10)&amp;TEXT(C6,"$#,##0")</f>
        <v>GENERAL OPERATIONS YTD EXPENSES
$205,323,440</v>
      </c>
      <c r="C29" s="162"/>
      <c r="D29" s="162"/>
      <c r="E29" s="162"/>
      <c r="F29" s="162"/>
      <c r="G29" s="73"/>
      <c r="H29" s="131" t="s">
        <v>82</v>
      </c>
    </row>
    <row r="30" spans="1:21" x14ac:dyDescent="0.2">
      <c r="A30" s="52"/>
      <c r="B30" s="49"/>
      <c r="C30" s="52"/>
      <c r="D30" s="52"/>
      <c r="E30" s="52"/>
      <c r="F30" s="49"/>
      <c r="G30" s="49"/>
    </row>
    <row r="31" spans="1:21" x14ac:dyDescent="0.2">
      <c r="A31" s="52"/>
      <c r="B31" s="49">
        <v>1197491160.8699994</v>
      </c>
      <c r="C31" s="52">
        <v>1139032581.8400021</v>
      </c>
      <c r="D31" s="52"/>
      <c r="E31" s="52"/>
      <c r="F31" s="49"/>
      <c r="G31" s="49"/>
    </row>
    <row r="32" spans="1:21" x14ac:dyDescent="0.2">
      <c r="A32" s="52"/>
      <c r="B32" s="49"/>
      <c r="C32" s="52"/>
      <c r="D32" s="52"/>
      <c r="E32" s="49"/>
      <c r="F32" s="49"/>
      <c r="G32" s="49"/>
    </row>
    <row r="33" spans="1:21" x14ac:dyDescent="0.2">
      <c r="A33" s="74"/>
      <c r="B33" s="75"/>
      <c r="C33" s="74"/>
      <c r="D33" s="74"/>
      <c r="E33" s="74"/>
      <c r="F33" s="75"/>
      <c r="G33" s="75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7"/>
    </row>
    <row r="34" spans="1:21" x14ac:dyDescent="0.2">
      <c r="A34" s="52"/>
      <c r="B34" s="49"/>
      <c r="C34" s="52"/>
      <c r="D34" s="52"/>
      <c r="E34" s="52"/>
      <c r="F34" s="49"/>
      <c r="G34" s="49"/>
    </row>
    <row r="35" spans="1:21" x14ac:dyDescent="0.2">
      <c r="A35" s="52"/>
      <c r="B35" s="49"/>
      <c r="C35" s="52"/>
      <c r="D35" s="52"/>
      <c r="E35" s="52"/>
      <c r="F35" s="49"/>
      <c r="G35" s="49"/>
    </row>
    <row r="36" spans="1:21" ht="13.5" thickBot="1" x14ac:dyDescent="0.25"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1:21" ht="13.5" thickBot="1" x14ac:dyDescent="0.25">
      <c r="A37" s="163" t="s">
        <v>56</v>
      </c>
      <c r="B37" s="164"/>
      <c r="C37" s="164"/>
      <c r="D37" s="164"/>
      <c r="E37" s="164"/>
      <c r="F37" s="165"/>
      <c r="G37" s="52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1:21" ht="13.5" thickBot="1" x14ac:dyDescent="0.25">
      <c r="B38" s="50"/>
      <c r="D38" s="52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1:21" ht="26.25" thickBot="1" x14ac:dyDescent="0.25">
      <c r="B39" s="78" t="s">
        <v>57</v>
      </c>
      <c r="C39" s="79" t="s">
        <v>58</v>
      </c>
      <c r="D39" s="80" t="s">
        <v>59</v>
      </c>
      <c r="E39" s="81" t="s">
        <v>40</v>
      </c>
      <c r="F39" s="82" t="s">
        <v>41</v>
      </c>
      <c r="G39" s="82" t="s">
        <v>42</v>
      </c>
      <c r="H39" s="82" t="s">
        <v>43</v>
      </c>
      <c r="I39" s="82" t="s">
        <v>44</v>
      </c>
      <c r="J39" s="82" t="s">
        <v>45</v>
      </c>
      <c r="K39" s="82" t="s">
        <v>46</v>
      </c>
      <c r="L39" s="82" t="s">
        <v>47</v>
      </c>
      <c r="M39" s="82" t="s">
        <v>48</v>
      </c>
      <c r="N39" s="82" t="s">
        <v>49</v>
      </c>
      <c r="O39" s="82" t="s">
        <v>50</v>
      </c>
      <c r="P39" s="83" t="s">
        <v>51</v>
      </c>
      <c r="Q39" s="51"/>
      <c r="R39" s="84"/>
      <c r="S39" s="133"/>
      <c r="T39" s="133"/>
    </row>
    <row r="40" spans="1:21" s="84" customFormat="1" x14ac:dyDescent="0.2">
      <c r="A40" s="84" t="s">
        <v>8</v>
      </c>
      <c r="B40" s="85">
        <v>920385016.21000004</v>
      </c>
      <c r="C40" s="86">
        <f>SUM(E40:P40)</f>
        <v>120434044.77000001</v>
      </c>
      <c r="D40" s="87">
        <f>C40/B40</f>
        <v>0.1308518094589679</v>
      </c>
      <c r="E40" s="134">
        <v>14053.449999999999</v>
      </c>
      <c r="F40" s="134">
        <v>17695604.080000002</v>
      </c>
      <c r="G40" s="134">
        <v>102724387.24000001</v>
      </c>
      <c r="H40" s="134"/>
      <c r="I40" s="134"/>
      <c r="J40" s="134"/>
      <c r="K40" s="134"/>
      <c r="L40" s="134"/>
      <c r="M40" s="134"/>
      <c r="N40" s="134"/>
      <c r="O40" s="134"/>
      <c r="P40" s="134"/>
      <c r="R40" s="141"/>
      <c r="S40" s="147">
        <v>17709657.530000001</v>
      </c>
      <c r="T40" s="133">
        <f>S40-C40</f>
        <v>-102724387.24000001</v>
      </c>
      <c r="U40" s="133">
        <v>0</v>
      </c>
    </row>
    <row r="41" spans="1:21" s="84" customFormat="1" x14ac:dyDescent="0.2">
      <c r="A41" s="84" t="s">
        <v>9</v>
      </c>
      <c r="B41" s="88">
        <v>9000000</v>
      </c>
      <c r="C41" s="89">
        <f>SUM(E41:P41)</f>
        <v>3510458.7600000002</v>
      </c>
      <c r="D41" s="90">
        <f>C41/B41</f>
        <v>0.39005097333333338</v>
      </c>
      <c r="E41" s="135">
        <v>1515669.89</v>
      </c>
      <c r="F41" s="135">
        <v>1137720.8500000001</v>
      </c>
      <c r="G41" s="135">
        <v>857068.02</v>
      </c>
      <c r="H41" s="135"/>
      <c r="I41" s="135"/>
      <c r="J41" s="135"/>
      <c r="K41" s="135"/>
      <c r="L41" s="135"/>
      <c r="M41" s="135"/>
      <c r="N41" s="135"/>
      <c r="O41" s="135"/>
      <c r="P41" s="135"/>
      <c r="R41" s="141"/>
      <c r="S41" s="147">
        <v>2653390.7400000002</v>
      </c>
      <c r="T41" s="133">
        <f t="shared" ref="T41:T43" si="4">S41-C41</f>
        <v>-857068.02</v>
      </c>
      <c r="U41" s="133">
        <v>0</v>
      </c>
    </row>
    <row r="42" spans="1:21" s="84" customFormat="1" x14ac:dyDescent="0.2">
      <c r="A42" s="84" t="s">
        <v>10</v>
      </c>
      <c r="B42" s="88">
        <v>524150274.62</v>
      </c>
      <c r="C42" s="89">
        <f>SUM(E42:P42)</f>
        <v>65766791.620000005</v>
      </c>
      <c r="D42" s="90">
        <f>C42/B42</f>
        <v>0.12547316066500167</v>
      </c>
      <c r="E42" s="135">
        <v>7247206.2800000003</v>
      </c>
      <c r="F42" s="135">
        <v>8095535.3399999999</v>
      </c>
      <c r="G42" s="135">
        <v>50424050</v>
      </c>
      <c r="H42" s="135"/>
      <c r="I42" s="135"/>
      <c r="J42" s="135"/>
      <c r="K42" s="135"/>
      <c r="L42" s="135"/>
      <c r="M42" s="135"/>
      <c r="N42" s="135"/>
      <c r="O42" s="135"/>
      <c r="P42" s="135"/>
      <c r="R42" s="141"/>
      <c r="S42" s="147">
        <v>15342741.619999999</v>
      </c>
      <c r="T42" s="133">
        <f t="shared" si="4"/>
        <v>-50424050.000000007</v>
      </c>
      <c r="U42" s="133">
        <v>0</v>
      </c>
    </row>
    <row r="43" spans="1:21" s="84" customFormat="1" ht="13.5" thickBot="1" x14ac:dyDescent="0.25">
      <c r="A43" s="84" t="s">
        <v>11</v>
      </c>
      <c r="B43" s="91">
        <v>1433772</v>
      </c>
      <c r="C43" s="89">
        <f>SUM(E43:P43)</f>
        <v>74459.19</v>
      </c>
      <c r="D43" s="92">
        <f>C43/B43</f>
        <v>5.1932378369782643E-2</v>
      </c>
      <c r="E43" s="136">
        <v>-3178.04</v>
      </c>
      <c r="F43" s="136">
        <v>18280.689999999999</v>
      </c>
      <c r="G43" s="136">
        <v>59356.54</v>
      </c>
      <c r="H43" s="136"/>
      <c r="I43" s="136"/>
      <c r="J43" s="136"/>
      <c r="K43" s="136"/>
      <c r="L43" s="136"/>
      <c r="M43" s="136"/>
      <c r="N43" s="136"/>
      <c r="O43" s="136"/>
      <c r="P43" s="136"/>
      <c r="R43" s="142"/>
      <c r="S43" s="147">
        <v>15102.649999999998</v>
      </c>
      <c r="T43" s="133">
        <f t="shared" si="4"/>
        <v>-59356.540000000008</v>
      </c>
      <c r="U43" s="133">
        <v>0</v>
      </c>
    </row>
    <row r="44" spans="1:21" s="93" customFormat="1" ht="12.75" customHeight="1" thickBot="1" x14ac:dyDescent="0.25">
      <c r="B44" s="94">
        <f>SUM(B40:B43)</f>
        <v>1454969062.8299999</v>
      </c>
      <c r="C44" s="95">
        <f>SUM(C40:C43)</f>
        <v>189785754.34000003</v>
      </c>
      <c r="D44" s="96">
        <f>C44/B44</f>
        <v>0.1304397180589226</v>
      </c>
      <c r="E44" s="97">
        <f>SUM(E40:E43)</f>
        <v>8773751.5800000019</v>
      </c>
      <c r="F44" s="98">
        <f t="shared" ref="F44:P44" si="5">SUM(F40:F43)</f>
        <v>26947140.960000005</v>
      </c>
      <c r="G44" s="98">
        <f t="shared" si="5"/>
        <v>154064861.79999998</v>
      </c>
      <c r="H44" s="98">
        <f t="shared" si="5"/>
        <v>0</v>
      </c>
      <c r="I44" s="98">
        <f t="shared" si="5"/>
        <v>0</v>
      </c>
      <c r="J44" s="98">
        <f t="shared" si="5"/>
        <v>0</v>
      </c>
      <c r="K44" s="98">
        <f t="shared" si="5"/>
        <v>0</v>
      </c>
      <c r="L44" s="98">
        <f t="shared" si="5"/>
        <v>0</v>
      </c>
      <c r="M44" s="98">
        <f t="shared" si="5"/>
        <v>0</v>
      </c>
      <c r="N44" s="98">
        <f t="shared" si="5"/>
        <v>0</v>
      </c>
      <c r="O44" s="98">
        <f t="shared" si="5"/>
        <v>0</v>
      </c>
      <c r="P44" s="98">
        <f t="shared" si="5"/>
        <v>0</v>
      </c>
      <c r="Q44" s="51"/>
      <c r="R44" s="50"/>
      <c r="S44" s="99"/>
      <c r="T44" s="99"/>
      <c r="U44" s="149"/>
    </row>
    <row r="45" spans="1:21" ht="13.5" thickBot="1" x14ac:dyDescent="0.25">
      <c r="B45" s="50"/>
      <c r="C45" s="99"/>
      <c r="E45" s="50"/>
      <c r="L45" s="51"/>
      <c r="M45" s="51"/>
      <c r="N45" s="51"/>
      <c r="O45" s="51"/>
      <c r="P45" s="51"/>
      <c r="Q45" s="51"/>
    </row>
    <row r="46" spans="1:21" s="93" customFormat="1" ht="12.75" customHeight="1" x14ac:dyDescent="0.2">
      <c r="A46" s="100" t="s">
        <v>60</v>
      </c>
      <c r="B46" s="101">
        <f>+B40+B41+B43</f>
        <v>930818788.21000004</v>
      </c>
      <c r="C46" s="86">
        <f>+C40+C41+C43</f>
        <v>124018962.72000001</v>
      </c>
      <c r="D46" s="102">
        <f>C46/B46</f>
        <v>0.13323641968861974</v>
      </c>
      <c r="E46" s="103">
        <f>+E40+E41+E43</f>
        <v>1526545.2999999998</v>
      </c>
      <c r="F46" s="103">
        <f t="shared" ref="F46:P46" si="6">+F40+F41+F43</f>
        <v>18851605.620000005</v>
      </c>
      <c r="G46" s="103">
        <f t="shared" si="6"/>
        <v>103640811.80000001</v>
      </c>
      <c r="H46" s="103">
        <f t="shared" si="6"/>
        <v>0</v>
      </c>
      <c r="I46" s="103">
        <f t="shared" si="6"/>
        <v>0</v>
      </c>
      <c r="J46" s="103">
        <f t="shared" si="6"/>
        <v>0</v>
      </c>
      <c r="K46" s="103">
        <f t="shared" si="6"/>
        <v>0</v>
      </c>
      <c r="L46" s="103">
        <f t="shared" si="6"/>
        <v>0</v>
      </c>
      <c r="M46" s="103">
        <f t="shared" si="6"/>
        <v>0</v>
      </c>
      <c r="N46" s="103">
        <f t="shared" si="6"/>
        <v>0</v>
      </c>
      <c r="O46" s="103">
        <f t="shared" si="6"/>
        <v>0</v>
      </c>
      <c r="P46" s="103">
        <f t="shared" si="6"/>
        <v>0</v>
      </c>
      <c r="Q46" s="51"/>
      <c r="R46" s="51"/>
      <c r="S46" s="99"/>
      <c r="T46" s="99"/>
      <c r="U46" s="149"/>
    </row>
    <row r="47" spans="1:21" s="93" customFormat="1" ht="12.75" customHeight="1" thickBot="1" x14ac:dyDescent="0.25">
      <c r="A47" s="100" t="s">
        <v>61</v>
      </c>
      <c r="B47" s="104">
        <f>B42</f>
        <v>524150274.62</v>
      </c>
      <c r="C47" s="105">
        <f>C71</f>
        <v>65766791.620000005</v>
      </c>
      <c r="D47" s="106">
        <f>C47/B47</f>
        <v>0.12547316066500167</v>
      </c>
      <c r="E47" s="107">
        <f>E42</f>
        <v>7247206.2800000003</v>
      </c>
      <c r="F47" s="107">
        <f t="shared" ref="F47:P47" si="7">F42</f>
        <v>8095535.3399999999</v>
      </c>
      <c r="G47" s="107">
        <f t="shared" si="7"/>
        <v>50424050</v>
      </c>
      <c r="H47" s="107">
        <f t="shared" si="7"/>
        <v>0</v>
      </c>
      <c r="I47" s="107">
        <f t="shared" si="7"/>
        <v>0</v>
      </c>
      <c r="J47" s="107">
        <f t="shared" si="7"/>
        <v>0</v>
      </c>
      <c r="K47" s="107">
        <f t="shared" si="7"/>
        <v>0</v>
      </c>
      <c r="L47" s="107">
        <f t="shared" si="7"/>
        <v>0</v>
      </c>
      <c r="M47" s="107">
        <f t="shared" si="7"/>
        <v>0</v>
      </c>
      <c r="N47" s="107">
        <f t="shared" si="7"/>
        <v>0</v>
      </c>
      <c r="O47" s="107">
        <f t="shared" si="7"/>
        <v>0</v>
      </c>
      <c r="P47" s="107">
        <f t="shared" si="7"/>
        <v>0</v>
      </c>
      <c r="Q47" s="51"/>
      <c r="R47" s="51"/>
      <c r="S47" s="99"/>
      <c r="T47" s="99"/>
      <c r="U47" s="149"/>
    </row>
    <row r="48" spans="1:21" s="93" customFormat="1" ht="12.75" customHeight="1" thickBot="1" x14ac:dyDescent="0.25">
      <c r="B48" s="94">
        <f>SUM(B46:B47)</f>
        <v>1454969062.8299999</v>
      </c>
      <c r="C48" s="108">
        <f>SUM(E48:P48)</f>
        <v>189785754.34000003</v>
      </c>
      <c r="D48" s="109">
        <f>C48/B48</f>
        <v>0.1304397180589226</v>
      </c>
      <c r="E48" s="110">
        <f>+E46+E47</f>
        <v>8773751.5800000001</v>
      </c>
      <c r="F48" s="111">
        <f t="shared" ref="F48:P48" si="8">+F46+F47</f>
        <v>26947140.960000005</v>
      </c>
      <c r="G48" s="111">
        <f t="shared" si="8"/>
        <v>154064861.80000001</v>
      </c>
      <c r="H48" s="111">
        <f t="shared" si="8"/>
        <v>0</v>
      </c>
      <c r="I48" s="111">
        <f t="shared" si="8"/>
        <v>0</v>
      </c>
      <c r="J48" s="111">
        <f t="shared" si="8"/>
        <v>0</v>
      </c>
      <c r="K48" s="111">
        <f t="shared" si="8"/>
        <v>0</v>
      </c>
      <c r="L48" s="111">
        <f t="shared" si="8"/>
        <v>0</v>
      </c>
      <c r="M48" s="111">
        <f t="shared" si="8"/>
        <v>0</v>
      </c>
      <c r="N48" s="111">
        <f t="shared" si="8"/>
        <v>0</v>
      </c>
      <c r="O48" s="111">
        <f t="shared" si="8"/>
        <v>0</v>
      </c>
      <c r="P48" s="112">
        <f t="shared" si="8"/>
        <v>0</v>
      </c>
      <c r="Q48" s="51"/>
      <c r="R48" s="51"/>
      <c r="S48" s="99"/>
      <c r="T48" s="99"/>
      <c r="U48" s="149"/>
    </row>
    <row r="49" spans="1:21" s="93" customFormat="1" ht="12.75" customHeight="1" thickBot="1" x14ac:dyDescent="0.25"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99"/>
      <c r="T49" s="99"/>
      <c r="U49" s="149"/>
    </row>
    <row r="50" spans="1:21" s="93" customFormat="1" ht="12.75" customHeight="1" thickBot="1" x14ac:dyDescent="0.25">
      <c r="C50" s="155" t="s">
        <v>62</v>
      </c>
      <c r="D50" s="156"/>
      <c r="E50" s="113" t="s">
        <v>40</v>
      </c>
      <c r="F50" s="114" t="s">
        <v>41</v>
      </c>
      <c r="G50" s="114" t="s">
        <v>42</v>
      </c>
      <c r="H50" s="114" t="s">
        <v>43</v>
      </c>
      <c r="I50" s="114" t="s">
        <v>44</v>
      </c>
      <c r="J50" s="114" t="s">
        <v>45</v>
      </c>
      <c r="K50" s="114" t="s">
        <v>46</v>
      </c>
      <c r="L50" s="114" t="s">
        <v>47</v>
      </c>
      <c r="M50" s="114" t="s">
        <v>48</v>
      </c>
      <c r="N50" s="114" t="s">
        <v>49</v>
      </c>
      <c r="O50" s="114" t="s">
        <v>50</v>
      </c>
      <c r="P50" s="54" t="s">
        <v>51</v>
      </c>
      <c r="Q50" s="51"/>
      <c r="R50" s="51"/>
      <c r="S50" s="99"/>
      <c r="T50" s="99"/>
      <c r="U50" s="149"/>
    </row>
    <row r="51" spans="1:21" s="93" customFormat="1" ht="12.75" customHeight="1" x14ac:dyDescent="0.2">
      <c r="C51" s="115" t="s">
        <v>60</v>
      </c>
      <c r="D51" s="51"/>
      <c r="E51" s="50">
        <f>E46</f>
        <v>1526545.2999999998</v>
      </c>
      <c r="F51" s="50">
        <f>E51+F46</f>
        <v>20378150.920000006</v>
      </c>
      <c r="G51" s="50">
        <f t="shared" ref="G51:P52" si="9">F51+G46</f>
        <v>124018962.72000001</v>
      </c>
      <c r="H51" s="50">
        <f t="shared" si="9"/>
        <v>124018962.72000001</v>
      </c>
      <c r="I51" s="50">
        <f t="shared" si="9"/>
        <v>124018962.72000001</v>
      </c>
      <c r="J51" s="50">
        <f t="shared" si="9"/>
        <v>124018962.72000001</v>
      </c>
      <c r="K51" s="50">
        <f t="shared" si="9"/>
        <v>124018962.72000001</v>
      </c>
      <c r="L51" s="50">
        <f t="shared" si="9"/>
        <v>124018962.72000001</v>
      </c>
      <c r="M51" s="50">
        <f t="shared" si="9"/>
        <v>124018962.72000001</v>
      </c>
      <c r="N51" s="50">
        <f t="shared" si="9"/>
        <v>124018962.72000001</v>
      </c>
      <c r="O51" s="50">
        <f t="shared" si="9"/>
        <v>124018962.72000001</v>
      </c>
      <c r="P51" s="50">
        <f t="shared" si="9"/>
        <v>124018962.72000001</v>
      </c>
      <c r="Q51" s="51"/>
      <c r="R51" s="51"/>
      <c r="S51" s="99"/>
      <c r="T51" s="99"/>
      <c r="U51" s="149"/>
    </row>
    <row r="52" spans="1:21" s="93" customFormat="1" ht="12.75" customHeight="1" thickBot="1" x14ac:dyDescent="0.25">
      <c r="C52" s="115" t="s">
        <v>61</v>
      </c>
      <c r="D52" s="51"/>
      <c r="E52" s="50">
        <f>E47</f>
        <v>7247206.2800000003</v>
      </c>
      <c r="F52" s="50">
        <f>E52+F47</f>
        <v>15342741.620000001</v>
      </c>
      <c r="G52" s="50">
        <f t="shared" si="9"/>
        <v>65766791.620000005</v>
      </c>
      <c r="H52" s="50">
        <f t="shared" si="9"/>
        <v>65766791.620000005</v>
      </c>
      <c r="I52" s="50">
        <f t="shared" si="9"/>
        <v>65766791.620000005</v>
      </c>
      <c r="J52" s="50">
        <f t="shared" si="9"/>
        <v>65766791.620000005</v>
      </c>
      <c r="K52" s="50">
        <f t="shared" si="9"/>
        <v>65766791.620000005</v>
      </c>
      <c r="L52" s="50">
        <f t="shared" si="9"/>
        <v>65766791.620000005</v>
      </c>
      <c r="M52" s="50">
        <f t="shared" si="9"/>
        <v>65766791.620000005</v>
      </c>
      <c r="N52" s="50">
        <f t="shared" si="9"/>
        <v>65766791.620000005</v>
      </c>
      <c r="O52" s="50">
        <f t="shared" si="9"/>
        <v>65766791.620000005</v>
      </c>
      <c r="P52" s="50">
        <f t="shared" si="9"/>
        <v>65766791.620000005</v>
      </c>
      <c r="Q52" s="51"/>
      <c r="R52" s="51"/>
      <c r="S52" s="99"/>
      <c r="T52" s="99"/>
      <c r="U52" s="149"/>
    </row>
    <row r="53" spans="1:21" s="93" customFormat="1" ht="12.75" customHeight="1" thickBot="1" x14ac:dyDescent="0.25">
      <c r="C53" s="116" t="s">
        <v>63</v>
      </c>
      <c r="D53" s="51"/>
      <c r="E53" s="117">
        <f>+E51+E52</f>
        <v>8773751.5800000001</v>
      </c>
      <c r="F53" s="117">
        <f t="shared" ref="F53:P53" si="10">+F51+F52</f>
        <v>35720892.540000007</v>
      </c>
      <c r="G53" s="117">
        <f t="shared" si="10"/>
        <v>189785754.34000003</v>
      </c>
      <c r="H53" s="117">
        <f t="shared" si="10"/>
        <v>189785754.34000003</v>
      </c>
      <c r="I53" s="117">
        <f t="shared" si="10"/>
        <v>189785754.34000003</v>
      </c>
      <c r="J53" s="117">
        <f t="shared" si="10"/>
        <v>189785754.34000003</v>
      </c>
      <c r="K53" s="117">
        <f t="shared" si="10"/>
        <v>189785754.34000003</v>
      </c>
      <c r="L53" s="117">
        <f t="shared" si="10"/>
        <v>189785754.34000003</v>
      </c>
      <c r="M53" s="117">
        <f t="shared" si="10"/>
        <v>189785754.34000003</v>
      </c>
      <c r="N53" s="117">
        <f t="shared" si="10"/>
        <v>189785754.34000003</v>
      </c>
      <c r="O53" s="117">
        <f t="shared" si="10"/>
        <v>189785754.34000003</v>
      </c>
      <c r="P53" s="117">
        <f t="shared" si="10"/>
        <v>189785754.34000003</v>
      </c>
      <c r="Q53" s="51"/>
      <c r="R53" s="51"/>
      <c r="S53" s="99"/>
      <c r="T53" s="99"/>
      <c r="U53" s="149"/>
    </row>
    <row r="54" spans="1:21" s="93" customFormat="1" ht="12.75" customHeight="1" x14ac:dyDescent="0.2">
      <c r="C54" s="118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99"/>
      <c r="T54" s="99"/>
      <c r="U54" s="149"/>
    </row>
    <row r="55" spans="1:21" ht="38.25" x14ac:dyDescent="0.2">
      <c r="A55" s="99"/>
      <c r="B55" s="144" t="str">
        <f>"(LOCAL &amp; OTHER)" &amp; "  " &amp; "Budgeted: " &amp; TEXT(B46,"$#,##0")  &amp; "  " &amp; "Actual: " &amp; TEXT(C46,"$#,##0") &amp; "  " &amp; TEXT(D46,"###.00%") &amp; CHAR(10) &amp; "(STATE)" &amp; "  " &amp; "Budgeted: " &amp; TEXT(B47,"$#,##0") &amp; "  " &amp; "Actual: " &amp; TEXT(C47,"$#,##0") &amp; "   " &amp; TEXT(D47,"###.00%") &amp; CHAR(10) &amp; "TOTAL Budgeted: " &amp; TEXT(B48,"$#,##0") &amp; "  " &amp; "Actual: " &amp; TEXT(C48,"$#,##0") &amp; "   " &amp; TEXT(D48,"###.00%")</f>
        <v>(LOCAL &amp; OTHER)  Budgeted: $930,818,788  Actual: $124,018,963  13.32%
(STATE)  Budgeted: $524,150,275  Actual: $65,766,792   12.55%
TOTAL Budgeted: $1,454,969,063  Actual: $189,785,754   13.04%</v>
      </c>
      <c r="C55" s="144"/>
      <c r="D55" s="144"/>
      <c r="E55" s="144"/>
      <c r="F55" s="144"/>
      <c r="G55" s="144"/>
      <c r="H55" s="144"/>
      <c r="I55" s="144"/>
      <c r="J55" s="144"/>
      <c r="K55" s="144"/>
      <c r="Q55" s="51"/>
      <c r="R55" s="145" t="s">
        <v>83</v>
      </c>
      <c r="T55" s="143"/>
      <c r="U55" s="143"/>
    </row>
    <row r="56" spans="1:21" x14ac:dyDescent="0.2">
      <c r="B56" s="154" t="str">
        <f>"(STATE)" &amp; CHAR(9) &amp; "Budgeted: " &amp; TEXT(B47,"$#,##0") &amp; CHAR(9) &amp; "Actual: " &amp; TEXT(C47,"$#,##0") &amp; "   " &amp; TEXT(D47,"###.00%")</f>
        <v>(STATE)	Budgeted: $524,150,275	Actual: $65,766,792   12.55%</v>
      </c>
      <c r="C56" s="154"/>
      <c r="D56" s="154"/>
      <c r="E56" s="154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131"/>
    </row>
    <row r="57" spans="1:21" x14ac:dyDescent="0.2">
      <c r="B57" s="154" t="str">
        <f>"TOTAL Budgeted: " &amp; TEXT(B48,"$#,##0") &amp; CHAR(9) &amp; "Actual: " &amp; TEXT(C48,"$#,##0") &amp; "   " &amp; TEXT(D48,"###.00%")</f>
        <v>TOTAL Budgeted: $1,454,969,063	Actual: $189,785,754   13.04%</v>
      </c>
      <c r="C57" s="154"/>
      <c r="D57" s="154"/>
      <c r="E57" s="154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0"/>
    </row>
    <row r="58" spans="1:21" x14ac:dyDescent="0.2">
      <c r="B58" s="119"/>
      <c r="C58" s="12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0"/>
    </row>
    <row r="59" spans="1:21" ht="13.5" thickBot="1" x14ac:dyDescent="0.25">
      <c r="B59" s="50"/>
      <c r="C59" s="99"/>
      <c r="E59" s="50"/>
      <c r="L59" s="51"/>
      <c r="M59" s="51"/>
      <c r="N59" s="51"/>
      <c r="O59" s="51"/>
      <c r="P59" s="51"/>
      <c r="Q59" s="51"/>
    </row>
    <row r="60" spans="1:21" s="99" customFormat="1" ht="26.25" thickBot="1" x14ac:dyDescent="0.25">
      <c r="A60" s="121" t="s">
        <v>32</v>
      </c>
      <c r="B60" s="122" t="s">
        <v>33</v>
      </c>
      <c r="P60" s="51"/>
      <c r="Q60" s="51"/>
      <c r="R60" s="51"/>
    </row>
    <row r="61" spans="1:21" s="99" customFormat="1" x14ac:dyDescent="0.2">
      <c r="A61" s="123" t="s">
        <v>8</v>
      </c>
      <c r="B61" s="124">
        <v>920385016.21000004</v>
      </c>
      <c r="C61" s="50"/>
      <c r="N61" s="125"/>
      <c r="O61" s="51"/>
      <c r="P61" s="51"/>
      <c r="Q61" s="51"/>
      <c r="R61" s="51"/>
    </row>
    <row r="62" spans="1:21" x14ac:dyDescent="0.2">
      <c r="A62" s="123" t="s">
        <v>9</v>
      </c>
      <c r="B62" s="124">
        <v>9000000</v>
      </c>
      <c r="C62" s="50"/>
      <c r="E62" s="50"/>
      <c r="G62" s="99"/>
      <c r="I62" s="99"/>
      <c r="J62" s="99"/>
      <c r="K62" s="99"/>
      <c r="L62" s="99"/>
      <c r="M62" s="51"/>
      <c r="N62" s="125"/>
      <c r="O62" s="126"/>
      <c r="P62" s="51"/>
      <c r="Q62" s="51"/>
    </row>
    <row r="63" spans="1:21" x14ac:dyDescent="0.2">
      <c r="A63" s="123" t="s">
        <v>10</v>
      </c>
      <c r="B63" s="124">
        <v>524150274.62</v>
      </c>
      <c r="C63" s="50"/>
      <c r="E63" s="50"/>
      <c r="G63" s="99"/>
      <c r="I63" s="99"/>
      <c r="J63" s="99"/>
      <c r="K63" s="99"/>
      <c r="L63" s="99"/>
      <c r="M63" s="51"/>
      <c r="N63" s="125"/>
      <c r="O63" s="126"/>
      <c r="P63" s="51"/>
      <c r="Q63" s="51"/>
    </row>
    <row r="64" spans="1:21" ht="13.5" thickBot="1" x14ac:dyDescent="0.25">
      <c r="A64" s="123" t="s">
        <v>11</v>
      </c>
      <c r="B64" s="124">
        <v>1433772</v>
      </c>
      <c r="C64" s="50"/>
      <c r="E64" s="50"/>
      <c r="G64" s="99"/>
      <c r="I64" s="99"/>
      <c r="J64" s="99"/>
      <c r="K64" s="99"/>
      <c r="L64" s="99"/>
      <c r="M64" s="51"/>
      <c r="N64" s="125"/>
      <c r="O64" s="126"/>
      <c r="P64" s="51"/>
      <c r="Q64" s="51"/>
    </row>
    <row r="65" spans="1:20" ht="13.5" thickBot="1" x14ac:dyDescent="0.25">
      <c r="A65" s="127" t="s">
        <v>64</v>
      </c>
      <c r="B65" s="128">
        <f>SUM(B61:B64)</f>
        <v>1454969062.8299999</v>
      </c>
      <c r="C65" s="99"/>
      <c r="D65" s="99"/>
      <c r="E65" s="50"/>
      <c r="G65" s="99"/>
      <c r="H65" s="50" t="str">
        <f xml:space="preserve"> CHAR(9)</f>
        <v xml:space="preserve">	</v>
      </c>
      <c r="I65" s="99"/>
      <c r="J65" s="99"/>
      <c r="K65" s="99"/>
      <c r="L65" s="99"/>
      <c r="M65" s="99"/>
      <c r="N65" s="51"/>
      <c r="O65" s="125"/>
      <c r="P65" s="126"/>
      <c r="Q65" s="51"/>
    </row>
    <row r="66" spans="1:20" x14ac:dyDescent="0.2">
      <c r="C66" s="99"/>
      <c r="D66" s="99"/>
      <c r="E66" s="50"/>
      <c r="G66" s="99"/>
      <c r="I66" s="99"/>
      <c r="J66" s="99"/>
      <c r="K66" s="99"/>
      <c r="L66" s="99"/>
      <c r="M66" s="51"/>
      <c r="N66" s="125"/>
      <c r="O66" s="126"/>
      <c r="P66" s="51"/>
      <c r="Q66" s="51"/>
    </row>
    <row r="67" spans="1:20" ht="13.5" thickBot="1" x14ac:dyDescent="0.25">
      <c r="C67" s="50"/>
      <c r="D67" s="99"/>
      <c r="E67" s="50"/>
      <c r="I67" s="99"/>
      <c r="J67" s="99"/>
      <c r="K67" s="99"/>
      <c r="L67" s="99"/>
      <c r="M67" s="99"/>
      <c r="N67" s="51"/>
      <c r="O67" s="125"/>
      <c r="P67" s="126"/>
      <c r="Q67" s="51"/>
    </row>
    <row r="68" spans="1:20" ht="26.25" thickBot="1" x14ac:dyDescent="0.25">
      <c r="B68" s="116" t="s">
        <v>66</v>
      </c>
      <c r="C68" s="129" t="s">
        <v>65</v>
      </c>
      <c r="D68" s="99"/>
      <c r="E68" s="50"/>
      <c r="G68" s="99"/>
      <c r="H68" s="99"/>
      <c r="I68" s="99"/>
      <c r="J68" s="99"/>
      <c r="K68" s="99"/>
      <c r="L68" s="99"/>
      <c r="M68" s="51"/>
      <c r="N68" s="125"/>
      <c r="O68" s="126"/>
      <c r="P68" s="51"/>
      <c r="Q68" s="51"/>
    </row>
    <row r="69" spans="1:20" x14ac:dyDescent="0.2">
      <c r="A69" s="99" t="s">
        <v>8</v>
      </c>
      <c r="B69" s="50">
        <v>920385016.21000004</v>
      </c>
      <c r="C69" s="50">
        <v>120434044.77000001</v>
      </c>
      <c r="D69" s="99"/>
      <c r="E69" s="50"/>
      <c r="G69" s="99"/>
      <c r="H69" s="99"/>
      <c r="I69" s="99"/>
      <c r="J69" s="99"/>
      <c r="K69" s="99"/>
      <c r="L69" s="99"/>
      <c r="M69" s="51"/>
      <c r="N69" s="125"/>
      <c r="O69" s="126"/>
      <c r="P69" s="51"/>
      <c r="Q69" s="51"/>
    </row>
    <row r="70" spans="1:20" x14ac:dyDescent="0.2">
      <c r="A70" s="99" t="s">
        <v>9</v>
      </c>
      <c r="B70" s="50">
        <v>9000000</v>
      </c>
      <c r="C70" s="50">
        <v>3510458.7600000002</v>
      </c>
      <c r="D70" s="99"/>
      <c r="E70" s="50"/>
      <c r="G70" s="99"/>
      <c r="H70" s="99"/>
      <c r="I70" s="99"/>
      <c r="J70" s="99"/>
      <c r="K70" s="99"/>
      <c r="L70" s="99"/>
      <c r="M70" s="51"/>
      <c r="N70" s="125"/>
      <c r="O70" s="126"/>
      <c r="P70" s="51"/>
      <c r="Q70" s="51"/>
    </row>
    <row r="71" spans="1:20" x14ac:dyDescent="0.2">
      <c r="A71" s="99" t="s">
        <v>10</v>
      </c>
      <c r="B71" s="50">
        <v>524150274.62</v>
      </c>
      <c r="C71" s="50">
        <v>65766791.620000005</v>
      </c>
      <c r="D71" s="99"/>
      <c r="E71" s="50"/>
      <c r="G71" s="99"/>
      <c r="H71" s="99"/>
      <c r="I71" s="99"/>
      <c r="J71" s="99"/>
      <c r="K71" s="99"/>
      <c r="L71" s="99"/>
      <c r="M71" s="51"/>
      <c r="N71" s="125"/>
      <c r="O71" s="126"/>
      <c r="P71" s="51"/>
      <c r="Q71" s="51"/>
    </row>
    <row r="72" spans="1:20" x14ac:dyDescent="0.2">
      <c r="A72" s="99" t="s">
        <v>11</v>
      </c>
      <c r="B72" s="50">
        <v>1433772</v>
      </c>
      <c r="C72" s="50">
        <v>74459.19</v>
      </c>
      <c r="D72" s="99"/>
      <c r="E72" s="50"/>
      <c r="H72" s="99"/>
      <c r="I72" s="99"/>
      <c r="J72" s="99"/>
      <c r="K72" s="99"/>
      <c r="L72" s="99"/>
      <c r="M72" s="51"/>
      <c r="N72" s="125"/>
      <c r="O72" s="126"/>
      <c r="P72" s="51"/>
      <c r="Q72" s="51"/>
    </row>
    <row r="73" spans="1:20" x14ac:dyDescent="0.2">
      <c r="B73" s="50"/>
      <c r="E73" s="50"/>
      <c r="H73" s="99"/>
      <c r="I73" s="99"/>
      <c r="J73" s="99"/>
      <c r="K73" s="99"/>
      <c r="L73" s="99"/>
      <c r="M73" s="51"/>
      <c r="N73" s="125"/>
      <c r="O73" s="126"/>
      <c r="P73" s="51"/>
      <c r="Q73" s="51"/>
    </row>
    <row r="74" spans="1:20" x14ac:dyDescent="0.2">
      <c r="B74" s="50"/>
      <c r="E74" s="50"/>
      <c r="P74" s="51"/>
      <c r="Q74" s="51"/>
    </row>
    <row r="75" spans="1:20" x14ac:dyDescent="0.2">
      <c r="B75" s="50"/>
      <c r="E75" s="50"/>
      <c r="P75" s="51"/>
      <c r="Q75" s="51"/>
    </row>
    <row r="76" spans="1:20" ht="12.75" customHeight="1" x14ac:dyDescent="0.2">
      <c r="C76" s="131"/>
      <c r="D76" s="13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S76" s="51"/>
      <c r="T76" s="51"/>
    </row>
    <row r="77" spans="1:20" x14ac:dyDescent="0.2">
      <c r="E77" s="50"/>
      <c r="P77" s="51"/>
      <c r="Q77" s="51"/>
    </row>
    <row r="78" spans="1:20" x14ac:dyDescent="0.2">
      <c r="E78" s="50"/>
      <c r="P78" s="51"/>
      <c r="Q78" s="51"/>
    </row>
    <row r="79" spans="1:20" x14ac:dyDescent="0.2">
      <c r="B79" s="50"/>
      <c r="E79" s="50"/>
      <c r="P79" s="51"/>
      <c r="Q79" s="51"/>
    </row>
    <row r="80" spans="1:20" x14ac:dyDescent="0.2">
      <c r="B80" s="50"/>
      <c r="E80" s="50"/>
      <c r="P80" s="51"/>
      <c r="Q80" s="51"/>
    </row>
    <row r="81" spans="5:17" x14ac:dyDescent="0.2">
      <c r="E81" s="50"/>
      <c r="P81" s="51"/>
      <c r="Q81" s="51"/>
    </row>
    <row r="82" spans="5:17" x14ac:dyDescent="0.2">
      <c r="E82" s="50"/>
      <c r="P82" s="51"/>
      <c r="Q82" s="51"/>
    </row>
    <row r="83" spans="5:17" x14ac:dyDescent="0.2">
      <c r="E83" s="50"/>
      <c r="P83" s="51"/>
      <c r="Q83" s="51"/>
    </row>
    <row r="84" spans="5:17" x14ac:dyDescent="0.2">
      <c r="E84" s="50"/>
      <c r="P84" s="51"/>
      <c r="Q84" s="51"/>
    </row>
    <row r="85" spans="5:17" x14ac:dyDescent="0.2">
      <c r="E85" s="50"/>
      <c r="Q85" s="51"/>
    </row>
    <row r="86" spans="5:17" x14ac:dyDescent="0.2">
      <c r="E86" s="50"/>
      <c r="Q86" s="51"/>
    </row>
    <row r="87" spans="5:17" x14ac:dyDescent="0.2">
      <c r="E87" s="50"/>
      <c r="Q87" s="51"/>
    </row>
    <row r="88" spans="5:17" x14ac:dyDescent="0.2">
      <c r="E88" s="50"/>
      <c r="Q88" s="51"/>
    </row>
    <row r="89" spans="5:17" x14ac:dyDescent="0.2">
      <c r="E89" s="50"/>
      <c r="Q89" s="51"/>
    </row>
    <row r="90" spans="5:17" x14ac:dyDescent="0.2">
      <c r="E90" s="50"/>
      <c r="Q90" s="51"/>
    </row>
    <row r="91" spans="5:17" x14ac:dyDescent="0.2">
      <c r="E91" s="50"/>
      <c r="Q91" s="51"/>
    </row>
    <row r="92" spans="5:17" x14ac:dyDescent="0.2">
      <c r="E92" s="50"/>
      <c r="Q92" s="51"/>
    </row>
    <row r="93" spans="5:17" x14ac:dyDescent="0.2">
      <c r="E93" s="50"/>
      <c r="Q93" s="51"/>
    </row>
    <row r="94" spans="5:17" x14ac:dyDescent="0.2">
      <c r="E94" s="50"/>
      <c r="Q94" s="51"/>
    </row>
    <row r="95" spans="5:17" x14ac:dyDescent="0.2">
      <c r="E95" s="50"/>
      <c r="Q95" s="51"/>
    </row>
    <row r="96" spans="5:17" x14ac:dyDescent="0.2">
      <c r="E96" s="50"/>
      <c r="Q96" s="51"/>
    </row>
  </sheetData>
  <mergeCells count="8">
    <mergeCell ref="B56:E56"/>
    <mergeCell ref="B57:E57"/>
    <mergeCell ref="C50:D50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8"/>
  <sheetViews>
    <sheetView workbookViewId="0">
      <selection activeCell="B32" sqref="B32:I32"/>
    </sheetView>
  </sheetViews>
  <sheetFormatPr defaultRowHeight="15" x14ac:dyDescent="0.25"/>
  <cols>
    <col min="1" max="1" width="51.7109375" style="1" customWidth="1"/>
    <col min="2" max="3" width="15.42578125" style="30" bestFit="1" customWidth="1"/>
    <col min="4" max="4" width="13.7109375" style="30" bestFit="1" customWidth="1"/>
    <col min="5" max="5" width="14.7109375" style="30" bestFit="1" customWidth="1"/>
    <col min="6" max="6" width="16.85546875" style="30" customWidth="1"/>
    <col min="7" max="7" width="14.7109375" style="30" bestFit="1" customWidth="1"/>
    <col min="8" max="8" width="14.5703125" style="30" bestFit="1" customWidth="1"/>
    <col min="9" max="9" width="13.5703125" style="1" customWidth="1"/>
    <col min="10" max="10" width="2.42578125" style="1" customWidth="1"/>
    <col min="11" max="11" width="52.28515625" style="1" bestFit="1" customWidth="1"/>
    <col min="12" max="13" width="14.5703125" style="137" bestFit="1" customWidth="1"/>
    <col min="14" max="15" width="14.140625" style="137" customWidth="1"/>
    <col min="16" max="16" width="13.7109375" style="137" customWidth="1"/>
    <col min="17" max="16384" width="9.140625" style="1"/>
  </cols>
  <sheetData>
    <row r="1" spans="1:1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19" ht="18.75" x14ac:dyDescent="0.3">
      <c r="A2" s="152" t="s">
        <v>76</v>
      </c>
      <c r="B2" s="152"/>
      <c r="C2" s="152"/>
      <c r="D2" s="152"/>
      <c r="E2" s="152"/>
      <c r="F2" s="152"/>
      <c r="G2" s="152"/>
      <c r="H2" s="152"/>
      <c r="I2" s="152"/>
    </row>
    <row r="3" spans="1:1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19" x14ac:dyDescent="0.25">
      <c r="A4" s="153">
        <v>45199</v>
      </c>
      <c r="B4" s="153"/>
      <c r="C4" s="153"/>
      <c r="D4" s="153"/>
      <c r="E4" s="153"/>
      <c r="F4" s="153"/>
      <c r="G4" s="153"/>
      <c r="H4" s="153"/>
      <c r="I4" s="153"/>
    </row>
    <row r="5" spans="1:1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1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19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31</v>
      </c>
      <c r="L7" s="138"/>
      <c r="M7" s="138"/>
      <c r="N7" s="138"/>
      <c r="O7" s="138"/>
      <c r="P7" s="138"/>
    </row>
    <row r="8" spans="1:19" s="5" customFormat="1" x14ac:dyDescent="0.2">
      <c r="A8" s="6" t="s">
        <v>8</v>
      </c>
      <c r="B8" s="7">
        <v>10800885.550000001</v>
      </c>
      <c r="C8" s="7">
        <v>10804294.33</v>
      </c>
      <c r="D8" s="7">
        <v>2575752.7599999998</v>
      </c>
      <c r="E8" s="7">
        <v>5997186.8200000003</v>
      </c>
      <c r="F8" s="7">
        <v>0</v>
      </c>
      <c r="G8" s="7">
        <f t="shared" ref="G8:G12" si="0">SUM(E8:F8)</f>
        <v>5997186.8200000003</v>
      </c>
      <c r="H8" s="7">
        <f t="shared" ref="H8:H12" si="1">C8-G8</f>
        <v>4807107.51</v>
      </c>
      <c r="I8" s="16">
        <f>IF(C8=0,"",H8/C8)</f>
        <v>0.44492563449074418</v>
      </c>
      <c r="K8"/>
      <c r="L8" s="148"/>
      <c r="M8" s="148"/>
      <c r="N8" s="148"/>
      <c r="O8" s="148"/>
      <c r="P8" s="148"/>
    </row>
    <row r="9" spans="1:19" s="5" customFormat="1" x14ac:dyDescent="0.2">
      <c r="A9" s="6" t="s">
        <v>9</v>
      </c>
      <c r="B9" s="7">
        <v>0</v>
      </c>
      <c r="C9" s="7">
        <v>0</v>
      </c>
      <c r="D9" s="7">
        <v>1311.59</v>
      </c>
      <c r="E9" s="7">
        <v>3949.27</v>
      </c>
      <c r="F9" s="7">
        <v>0</v>
      </c>
      <c r="G9" s="7">
        <f t="shared" si="0"/>
        <v>3949.27</v>
      </c>
      <c r="H9" s="7">
        <f t="shared" si="1"/>
        <v>-3949.27</v>
      </c>
      <c r="I9" s="16" t="str">
        <f t="shared" ref="I9:I12" si="2">IF(C9=0,"",H9/C9)</f>
        <v/>
      </c>
      <c r="K9"/>
      <c r="L9" s="148"/>
      <c r="M9" s="148"/>
      <c r="N9" s="148"/>
      <c r="O9" s="148"/>
      <c r="P9" s="148"/>
    </row>
    <row r="10" spans="1:19" s="5" customFormat="1" x14ac:dyDescent="0.2">
      <c r="A10" s="6" t="s">
        <v>10</v>
      </c>
      <c r="B10" s="7">
        <v>15023396</v>
      </c>
      <c r="C10" s="7">
        <v>15341537</v>
      </c>
      <c r="D10" s="7">
        <v>2904845.34</v>
      </c>
      <c r="E10" s="7">
        <v>3697855.78</v>
      </c>
      <c r="F10" s="7">
        <v>0</v>
      </c>
      <c r="G10" s="7">
        <f t="shared" si="0"/>
        <v>3697855.78</v>
      </c>
      <c r="H10" s="7">
        <f t="shared" si="1"/>
        <v>11643681.220000001</v>
      </c>
      <c r="I10" s="16">
        <f t="shared" si="2"/>
        <v>0.75896445186685013</v>
      </c>
      <c r="K10"/>
      <c r="L10" s="148"/>
      <c r="M10" s="148"/>
      <c r="N10" s="148"/>
      <c r="O10" s="148"/>
      <c r="P10" s="148"/>
    </row>
    <row r="11" spans="1:19" s="5" customFormat="1" x14ac:dyDescent="0.2">
      <c r="A11" s="6" t="s">
        <v>74</v>
      </c>
      <c r="B11" s="7">
        <v>432812557.76999998</v>
      </c>
      <c r="C11" s="7">
        <v>622907439.27999997</v>
      </c>
      <c r="D11" s="7">
        <v>104901.11</v>
      </c>
      <c r="E11" s="7">
        <v>48160560.690000005</v>
      </c>
      <c r="F11" s="7">
        <v>0</v>
      </c>
      <c r="G11" s="7">
        <f t="shared" si="0"/>
        <v>48160560.690000005</v>
      </c>
      <c r="H11" s="7">
        <f t="shared" si="1"/>
        <v>574746878.58999991</v>
      </c>
      <c r="I11" s="16">
        <f t="shared" si="2"/>
        <v>0.92268424222759737</v>
      </c>
      <c r="K11"/>
      <c r="L11" s="148"/>
      <c r="M11" s="148"/>
      <c r="N11" s="148"/>
      <c r="O11" s="148"/>
      <c r="P11" s="148"/>
    </row>
    <row r="12" spans="1:19" s="5" customFormat="1" x14ac:dyDescent="0.2">
      <c r="A12" s="8" t="s">
        <v>11</v>
      </c>
      <c r="B12" s="7">
        <v>4998766</v>
      </c>
      <c r="C12" s="7">
        <v>4998766</v>
      </c>
      <c r="D12" s="7">
        <v>7037.1</v>
      </c>
      <c r="E12" s="7">
        <v>534257.76</v>
      </c>
      <c r="F12" s="7">
        <v>0</v>
      </c>
      <c r="G12" s="7">
        <f t="shared" si="0"/>
        <v>534257.76</v>
      </c>
      <c r="H12" s="7">
        <f t="shared" si="1"/>
        <v>4464508.24</v>
      </c>
      <c r="I12" s="16">
        <f t="shared" si="2"/>
        <v>0.8931220705270061</v>
      </c>
      <c r="K12" s="148"/>
      <c r="L12" s="148"/>
      <c r="M12" s="148"/>
      <c r="N12" s="148"/>
      <c r="O12" s="148"/>
      <c r="P12" s="148"/>
    </row>
    <row r="13" spans="1:19" s="5" customFormat="1" ht="24.95" customHeight="1" x14ac:dyDescent="0.25">
      <c r="A13" s="10" t="s">
        <v>12</v>
      </c>
      <c r="B13" s="11">
        <f>SUM(B8:B12)</f>
        <v>463635605.31999999</v>
      </c>
      <c r="C13" s="11">
        <f t="shared" ref="C13:H13" si="3">SUM(C8:C12)</f>
        <v>654052036.61000001</v>
      </c>
      <c r="D13" s="11">
        <f t="shared" si="3"/>
        <v>5593847.8999999994</v>
      </c>
      <c r="E13" s="11">
        <f t="shared" si="3"/>
        <v>58393810.32</v>
      </c>
      <c r="F13" s="11">
        <f t="shared" si="3"/>
        <v>0</v>
      </c>
      <c r="G13" s="11">
        <f t="shared" si="3"/>
        <v>58393810.32</v>
      </c>
      <c r="H13" s="11">
        <f t="shared" si="3"/>
        <v>595658226.28999996</v>
      </c>
      <c r="I13" s="36">
        <f>IF(C13=0,"",H13/C13)</f>
        <v>0.91071993197565826</v>
      </c>
      <c r="L13" s="1"/>
      <c r="M13" s="1"/>
      <c r="N13" s="1"/>
      <c r="O13" s="1"/>
      <c r="P13" s="1"/>
      <c r="Q13" s="1"/>
      <c r="R13" s="1"/>
      <c r="S13" s="1"/>
    </row>
    <row r="14" spans="1:19" s="5" customFormat="1" x14ac:dyDescent="0.2">
      <c r="A14" s="12" t="s">
        <v>13</v>
      </c>
      <c r="B14" s="13">
        <v>135696234.75000015</v>
      </c>
      <c r="C14" s="13">
        <v>245656816.07000011</v>
      </c>
      <c r="D14" s="13">
        <v>4656454.3100000024</v>
      </c>
      <c r="E14" s="13">
        <v>12123560.160000019</v>
      </c>
      <c r="F14" s="13">
        <v>22264760.919999994</v>
      </c>
      <c r="G14" s="13">
        <f t="shared" ref="G14:G31" si="4">SUM(E14:F14)</f>
        <v>34388321.080000013</v>
      </c>
      <c r="H14" s="13">
        <f t="shared" ref="H14:H31" si="5">C14-G14</f>
        <v>211268494.9900001</v>
      </c>
      <c r="I14" s="26">
        <f t="shared" ref="I14:I31" si="6">IF(C14=0,"",H14/C14)</f>
        <v>0.86001478961527766</v>
      </c>
      <c r="L14" s="138"/>
      <c r="M14" s="138"/>
      <c r="N14" s="138"/>
      <c r="O14" s="138"/>
      <c r="P14" s="138"/>
    </row>
    <row r="15" spans="1:19" s="5" customFormat="1" x14ac:dyDescent="0.2">
      <c r="A15" s="6" t="s">
        <v>14</v>
      </c>
      <c r="B15" s="7">
        <v>42434981.650000006</v>
      </c>
      <c r="C15" s="7">
        <v>40310814.739999972</v>
      </c>
      <c r="D15" s="7">
        <v>2364171.1099999994</v>
      </c>
      <c r="E15" s="7">
        <v>3350732.5799999996</v>
      </c>
      <c r="F15" s="7">
        <v>1693154.4199999997</v>
      </c>
      <c r="G15" s="7">
        <f t="shared" si="4"/>
        <v>5043886.9999999991</v>
      </c>
      <c r="H15" s="7">
        <f t="shared" si="5"/>
        <v>35266927.739999972</v>
      </c>
      <c r="I15" s="16">
        <f t="shared" si="6"/>
        <v>0.87487509164643584</v>
      </c>
      <c r="L15" s="138"/>
      <c r="M15" s="138"/>
      <c r="N15" s="138"/>
      <c r="O15" s="138"/>
      <c r="P15" s="138"/>
    </row>
    <row r="16" spans="1:19" s="5" customFormat="1" x14ac:dyDescent="0.2">
      <c r="A16" s="6" t="s">
        <v>15</v>
      </c>
      <c r="B16" s="7">
        <v>28596810.379999999</v>
      </c>
      <c r="C16" s="7">
        <v>5260785.5599999968</v>
      </c>
      <c r="D16" s="7">
        <v>202385.91</v>
      </c>
      <c r="E16" s="7">
        <v>381530.86000000004</v>
      </c>
      <c r="F16" s="7">
        <v>31861.32</v>
      </c>
      <c r="G16" s="7">
        <f t="shared" si="4"/>
        <v>413392.18000000005</v>
      </c>
      <c r="H16" s="7">
        <f t="shared" si="5"/>
        <v>4847393.3799999971</v>
      </c>
      <c r="I16" s="16">
        <f t="shared" si="6"/>
        <v>0.92142006639784046</v>
      </c>
      <c r="L16" s="138"/>
      <c r="M16" s="138"/>
      <c r="N16" s="138"/>
      <c r="O16" s="138"/>
      <c r="P16" s="138"/>
    </row>
    <row r="17" spans="1:19" s="5" customFormat="1" x14ac:dyDescent="0.2">
      <c r="A17" s="6" t="s">
        <v>16</v>
      </c>
      <c r="B17" s="7">
        <v>51047170.170000009</v>
      </c>
      <c r="C17" s="7">
        <v>34686593.550000019</v>
      </c>
      <c r="D17" s="7">
        <v>2543545.38</v>
      </c>
      <c r="E17" s="7">
        <v>3826133.0900000017</v>
      </c>
      <c r="F17" s="7">
        <v>258615.99</v>
      </c>
      <c r="G17" s="7">
        <f t="shared" si="4"/>
        <v>4084749.0800000019</v>
      </c>
      <c r="H17" s="7">
        <f t="shared" si="5"/>
        <v>30601844.470000017</v>
      </c>
      <c r="I17" s="16">
        <f t="shared" si="6"/>
        <v>0.88223839063031895</v>
      </c>
      <c r="L17" s="138"/>
      <c r="M17" s="138"/>
      <c r="N17" s="138"/>
      <c r="O17" s="138"/>
      <c r="P17" s="138"/>
    </row>
    <row r="18" spans="1:19" s="5" customFormat="1" x14ac:dyDescent="0.2">
      <c r="A18" s="6" t="s">
        <v>17</v>
      </c>
      <c r="B18" s="7">
        <v>2893575</v>
      </c>
      <c r="C18" s="7">
        <v>3109957</v>
      </c>
      <c r="D18" s="7">
        <v>4686.3100000000004</v>
      </c>
      <c r="E18" s="7">
        <v>9697.64</v>
      </c>
      <c r="F18" s="7">
        <v>24379.279999999999</v>
      </c>
      <c r="G18" s="7">
        <f t="shared" si="4"/>
        <v>34076.92</v>
      </c>
      <c r="H18" s="7">
        <f t="shared" si="5"/>
        <v>3075880.08</v>
      </c>
      <c r="I18" s="16">
        <f t="shared" si="6"/>
        <v>0.98904263949630178</v>
      </c>
      <c r="L18" s="138"/>
      <c r="M18" s="138"/>
      <c r="N18" s="138"/>
      <c r="O18" s="138"/>
      <c r="P18" s="138"/>
    </row>
    <row r="19" spans="1:19" s="5" customFormat="1" x14ac:dyDescent="0.2">
      <c r="A19" s="6" t="s">
        <v>71</v>
      </c>
      <c r="B19" s="7">
        <v>3520157.4299999992</v>
      </c>
      <c r="C19" s="7">
        <v>11250395.920000002</v>
      </c>
      <c r="D19" s="7">
        <v>365505.16</v>
      </c>
      <c r="E19" s="7">
        <v>1137585.0300000003</v>
      </c>
      <c r="F19" s="7">
        <v>118609.93</v>
      </c>
      <c r="G19" s="7">
        <f>SUM(E19:F19)</f>
        <v>1256194.9600000002</v>
      </c>
      <c r="H19" s="7">
        <f>C19-G19</f>
        <v>9994200.9600000009</v>
      </c>
      <c r="I19" s="16">
        <f>IF(C19=0,"",H19/C19)</f>
        <v>0.88834215533989846</v>
      </c>
      <c r="L19" s="138"/>
      <c r="M19" s="138"/>
      <c r="N19" s="138"/>
      <c r="O19" s="138"/>
      <c r="P19" s="138"/>
    </row>
    <row r="20" spans="1:19" s="5" customFormat="1" x14ac:dyDescent="0.2">
      <c r="A20" s="6" t="s">
        <v>18</v>
      </c>
      <c r="B20" s="7">
        <v>52346285.68</v>
      </c>
      <c r="C20" s="7">
        <v>48521630.95000001</v>
      </c>
      <c r="D20" s="7">
        <v>136659.41999999998</v>
      </c>
      <c r="E20" s="7">
        <v>423387.91</v>
      </c>
      <c r="F20" s="7">
        <v>5695.04</v>
      </c>
      <c r="G20" s="7">
        <f t="shared" si="4"/>
        <v>429082.94999999995</v>
      </c>
      <c r="H20" s="7">
        <f t="shared" si="5"/>
        <v>48092548.000000007</v>
      </c>
      <c r="I20" s="16">
        <f t="shared" si="6"/>
        <v>0.99115687289155308</v>
      </c>
      <c r="L20" s="138"/>
      <c r="M20" s="138"/>
      <c r="N20" s="138"/>
      <c r="O20" s="138"/>
      <c r="P20" s="138"/>
    </row>
    <row r="21" spans="1:19" s="5" customFormat="1" x14ac:dyDescent="0.2">
      <c r="A21" s="6" t="s">
        <v>19</v>
      </c>
      <c r="B21" s="7">
        <v>27958822.82</v>
      </c>
      <c r="C21" s="7">
        <v>6395935.2799999965</v>
      </c>
      <c r="D21" s="7">
        <v>57191.970000000008</v>
      </c>
      <c r="E21" s="7">
        <v>195315.24000000005</v>
      </c>
      <c r="F21" s="7">
        <v>0</v>
      </c>
      <c r="G21" s="7">
        <f t="shared" si="4"/>
        <v>195315.24000000005</v>
      </c>
      <c r="H21" s="7">
        <f t="shared" si="5"/>
        <v>6200620.0399999963</v>
      </c>
      <c r="I21" s="16">
        <f t="shared" si="6"/>
        <v>0.96946259906494858</v>
      </c>
      <c r="L21" s="138"/>
      <c r="M21" s="138"/>
      <c r="N21" s="138"/>
      <c r="O21" s="138"/>
      <c r="P21" s="138"/>
    </row>
    <row r="22" spans="1:19" s="5" customFormat="1" x14ac:dyDescent="0.2">
      <c r="A22" s="6" t="s">
        <v>20</v>
      </c>
      <c r="B22" s="7">
        <v>26102645</v>
      </c>
      <c r="C22" s="7">
        <v>251551.30000000002</v>
      </c>
      <c r="D22" s="7">
        <v>7520.34</v>
      </c>
      <c r="E22" s="7">
        <v>22496.98</v>
      </c>
      <c r="F22" s="7">
        <v>17314.95</v>
      </c>
      <c r="G22" s="7">
        <f t="shared" si="4"/>
        <v>39811.93</v>
      </c>
      <c r="H22" s="7">
        <f t="shared" si="5"/>
        <v>211739.37000000002</v>
      </c>
      <c r="I22" s="16">
        <f t="shared" si="6"/>
        <v>0.84173435001130981</v>
      </c>
      <c r="L22" s="138"/>
      <c r="M22" s="138"/>
      <c r="N22" s="138"/>
      <c r="O22" s="138"/>
      <c r="P22" s="138"/>
    </row>
    <row r="23" spans="1:19" s="5" customFormat="1" x14ac:dyDescent="0.2">
      <c r="A23" s="6" t="s">
        <v>70</v>
      </c>
      <c r="B23" s="7">
        <v>75201356.920000002</v>
      </c>
      <c r="C23" s="7">
        <v>57128791.920000002</v>
      </c>
      <c r="D23" s="7">
        <v>53411.62</v>
      </c>
      <c r="E23" s="7">
        <v>195800.62</v>
      </c>
      <c r="F23" s="7">
        <v>1903107.3699999994</v>
      </c>
      <c r="G23" s="7">
        <f t="shared" si="4"/>
        <v>2098907.9899999993</v>
      </c>
      <c r="H23" s="7">
        <f t="shared" si="5"/>
        <v>55029883.93</v>
      </c>
      <c r="I23" s="16">
        <f t="shared" si="6"/>
        <v>0.96326006695644473</v>
      </c>
      <c r="L23" s="138"/>
      <c r="M23" s="138"/>
      <c r="N23" s="138"/>
      <c r="O23" s="138"/>
      <c r="P23" s="138"/>
    </row>
    <row r="24" spans="1:19" s="5" customFormat="1" x14ac:dyDescent="0.2">
      <c r="A24" s="6" t="s">
        <v>21</v>
      </c>
      <c r="B24" s="7">
        <v>27712642.510000002</v>
      </c>
      <c r="C24" s="7">
        <v>25549608.09</v>
      </c>
      <c r="D24" s="7">
        <v>92123</v>
      </c>
      <c r="E24" s="7">
        <v>329542.75</v>
      </c>
      <c r="F24" s="7">
        <v>4840365.9800000004</v>
      </c>
      <c r="G24" s="7">
        <f t="shared" si="4"/>
        <v>5169908.7300000004</v>
      </c>
      <c r="H24" s="7">
        <f t="shared" si="5"/>
        <v>20379699.359999999</v>
      </c>
      <c r="I24" s="16">
        <f t="shared" si="6"/>
        <v>0.79765213181397177</v>
      </c>
      <c r="L24" s="138"/>
      <c r="M24" s="138"/>
      <c r="N24" s="138"/>
      <c r="O24" s="138"/>
      <c r="P24" s="138"/>
    </row>
    <row r="25" spans="1:19" s="5" customFormat="1" x14ac:dyDescent="0.2">
      <c r="A25" s="6" t="s">
        <v>22</v>
      </c>
      <c r="B25" s="7">
        <v>80968863.539999992</v>
      </c>
      <c r="C25" s="7">
        <v>5447181.1900000004</v>
      </c>
      <c r="D25" s="7">
        <v>73182.180000000008</v>
      </c>
      <c r="E25" s="7">
        <v>144467.66</v>
      </c>
      <c r="F25" s="7">
        <v>10935.95</v>
      </c>
      <c r="G25" s="7">
        <f t="shared" si="4"/>
        <v>155403.61000000002</v>
      </c>
      <c r="H25" s="7">
        <f t="shared" si="5"/>
        <v>5291777.58</v>
      </c>
      <c r="I25" s="16">
        <f t="shared" si="6"/>
        <v>0.97147082048871591</v>
      </c>
      <c r="L25" s="138"/>
      <c r="M25" s="138"/>
      <c r="N25" s="138"/>
      <c r="O25" s="138"/>
      <c r="P25" s="138"/>
    </row>
    <row r="26" spans="1:19" s="5" customFormat="1" x14ac:dyDescent="0.2">
      <c r="A26" s="6" t="s">
        <v>23</v>
      </c>
      <c r="B26" s="7">
        <v>6500</v>
      </c>
      <c r="C26" s="7">
        <v>2297984.3500000006</v>
      </c>
      <c r="D26" s="7">
        <v>31529.88</v>
      </c>
      <c r="E26" s="7">
        <v>84448.829999999987</v>
      </c>
      <c r="F26" s="7">
        <v>45</v>
      </c>
      <c r="G26" s="7">
        <f t="shared" si="4"/>
        <v>84493.829999999987</v>
      </c>
      <c r="H26" s="7">
        <f t="shared" si="5"/>
        <v>2213490.5200000005</v>
      </c>
      <c r="I26" s="16">
        <f t="shared" si="6"/>
        <v>0.96323132922989663</v>
      </c>
      <c r="L26" s="138"/>
      <c r="M26" s="138"/>
      <c r="N26" s="138"/>
      <c r="O26" s="138"/>
      <c r="P26" s="138"/>
    </row>
    <row r="27" spans="1:19" s="5" customFormat="1" x14ac:dyDescent="0.2">
      <c r="A27" s="6" t="s">
        <v>29</v>
      </c>
      <c r="B27" s="7">
        <v>53747141</v>
      </c>
      <c r="C27" s="7">
        <v>21737987.100000001</v>
      </c>
      <c r="D27" s="7">
        <v>73455.55</v>
      </c>
      <c r="E27" s="7">
        <v>80557.05</v>
      </c>
      <c r="F27" s="7">
        <v>0</v>
      </c>
      <c r="G27" s="7">
        <f t="shared" si="4"/>
        <v>80557.05</v>
      </c>
      <c r="H27" s="7">
        <f t="shared" si="5"/>
        <v>21657430.050000001</v>
      </c>
      <c r="I27" s="16">
        <f t="shared" si="6"/>
        <v>0.9962941807983684</v>
      </c>
      <c r="L27" s="138"/>
      <c r="M27" s="138"/>
      <c r="N27" s="138"/>
      <c r="O27" s="138"/>
      <c r="P27" s="138"/>
    </row>
    <row r="28" spans="1:19" s="5" customFormat="1" x14ac:dyDescent="0.2">
      <c r="A28" s="6" t="s">
        <v>30</v>
      </c>
      <c r="B28" s="7">
        <v>1897082.28</v>
      </c>
      <c r="C28" s="7">
        <v>1897082.28</v>
      </c>
      <c r="D28" s="7">
        <v>282186.47000000003</v>
      </c>
      <c r="E28" s="7">
        <v>467485.45</v>
      </c>
      <c r="F28" s="7">
        <v>647129.5</v>
      </c>
      <c r="G28" s="7">
        <f t="shared" si="4"/>
        <v>1114614.95</v>
      </c>
      <c r="H28" s="7">
        <f t="shared" si="5"/>
        <v>782467.33000000007</v>
      </c>
      <c r="I28" s="16">
        <f t="shared" si="6"/>
        <v>0.41245829885670537</v>
      </c>
      <c r="L28" s="138"/>
      <c r="M28" s="138"/>
      <c r="N28" s="138"/>
      <c r="O28" s="138"/>
      <c r="P28" s="138"/>
    </row>
    <row r="29" spans="1:19" s="5" customFormat="1" x14ac:dyDescent="0.2">
      <c r="A29" s="29" t="s">
        <v>72</v>
      </c>
      <c r="B29" s="7">
        <v>158786775.40000001</v>
      </c>
      <c r="C29" s="7">
        <v>142845358.24000004</v>
      </c>
      <c r="D29" s="7">
        <v>1901323.7399999993</v>
      </c>
      <c r="E29" s="7">
        <v>3403256.379999999</v>
      </c>
      <c r="F29" s="7">
        <v>19150682.79000001</v>
      </c>
      <c r="G29" s="7">
        <f t="shared" ref="G29" si="7">SUM(E29:F29)</f>
        <v>22553939.170000009</v>
      </c>
      <c r="H29" s="7">
        <f t="shared" ref="H29" si="8">C29-G29</f>
        <v>120291419.07000002</v>
      </c>
      <c r="I29" s="16">
        <f t="shared" ref="I29" si="9">IF(C29=0,"",H29/C29)</f>
        <v>0.84210940104818621</v>
      </c>
    </row>
    <row r="30" spans="1:19" s="5" customFormat="1" x14ac:dyDescent="0.2">
      <c r="A30" s="29" t="s">
        <v>73</v>
      </c>
      <c r="B30" s="7">
        <v>891245</v>
      </c>
      <c r="C30" s="7">
        <v>891245</v>
      </c>
      <c r="D30" s="7">
        <v>1921069.4</v>
      </c>
      <c r="E30" s="7">
        <v>5265279.4999999991</v>
      </c>
      <c r="F30" s="7">
        <v>0</v>
      </c>
      <c r="G30" s="7">
        <f t="shared" ref="G30" si="10">SUM(E30:F30)</f>
        <v>5265279.4999999991</v>
      </c>
      <c r="H30" s="7">
        <f t="shared" ref="H30" si="11">C30-G30</f>
        <v>-4374034.4999999991</v>
      </c>
      <c r="I30" s="16">
        <f t="shared" ref="I30" si="12">IF(C30=0,"",H30/C30)</f>
        <v>-4.9077801277987527</v>
      </c>
      <c r="L30" s="138"/>
      <c r="M30" s="138"/>
      <c r="N30" s="138"/>
      <c r="O30" s="138"/>
      <c r="P30" s="138"/>
    </row>
    <row r="31" spans="1:19" s="5" customFormat="1" x14ac:dyDescent="0.2">
      <c r="A31" s="6" t="s">
        <v>25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f t="shared" si="4"/>
        <v>0</v>
      </c>
      <c r="H31" s="7">
        <f t="shared" si="5"/>
        <v>0</v>
      </c>
      <c r="I31" s="16" t="str">
        <f t="shared" si="6"/>
        <v/>
      </c>
      <c r="L31" s="138"/>
      <c r="M31" s="138"/>
      <c r="N31" s="138"/>
      <c r="O31" s="138"/>
      <c r="P31" s="138"/>
    </row>
    <row r="32" spans="1:19" s="5" customFormat="1" ht="24.95" customHeight="1" x14ac:dyDescent="0.25">
      <c r="A32" s="10" t="s">
        <v>26</v>
      </c>
      <c r="B32" s="11">
        <f t="shared" ref="B32:H32" si="13">SUM(B14:B31)</f>
        <v>769808289.53000009</v>
      </c>
      <c r="C32" s="11">
        <f t="shared" si="13"/>
        <v>653239718.54000008</v>
      </c>
      <c r="D32" s="11">
        <f t="shared" si="13"/>
        <v>14766401.750000002</v>
      </c>
      <c r="E32" s="11">
        <f t="shared" si="13"/>
        <v>31441277.730000019</v>
      </c>
      <c r="F32" s="11">
        <f t="shared" si="13"/>
        <v>50966658.439999998</v>
      </c>
      <c r="G32" s="11">
        <f t="shared" si="13"/>
        <v>82407936.170000046</v>
      </c>
      <c r="H32" s="11">
        <f t="shared" si="13"/>
        <v>570831782.37000012</v>
      </c>
      <c r="I32" s="36">
        <f>IF(C32=0,"",H32/C32)</f>
        <v>0.87384732766375128</v>
      </c>
      <c r="L32" s="1"/>
      <c r="M32" s="1"/>
      <c r="N32" s="1"/>
      <c r="O32" s="1"/>
      <c r="P32" s="1"/>
      <c r="Q32" s="1"/>
      <c r="R32" s="1"/>
      <c r="S32" s="1"/>
    </row>
    <row r="33" spans="1:16" s="5" customFormat="1" x14ac:dyDescent="0.2">
      <c r="A33" s="12"/>
      <c r="B33" s="13"/>
      <c r="C33" s="13"/>
      <c r="D33" s="13"/>
      <c r="E33" s="13"/>
      <c r="F33" s="13"/>
      <c r="G33" s="13"/>
      <c r="H33" s="13"/>
      <c r="I33" s="15"/>
      <c r="L33" s="138"/>
      <c r="M33" s="138"/>
      <c r="N33" s="138"/>
      <c r="O33" s="138"/>
      <c r="P33" s="138"/>
    </row>
    <row r="34" spans="1:16" s="5" customFormat="1" x14ac:dyDescent="0.2">
      <c r="A34" s="6" t="s">
        <v>27</v>
      </c>
      <c r="B34" s="7">
        <f>B13-B32</f>
        <v>-306172684.2100001</v>
      </c>
      <c r="C34" s="7">
        <f>C13-C32</f>
        <v>812318.06999993324</v>
      </c>
      <c r="D34" s="7">
        <f>D13-D32</f>
        <v>-9172553.8500000015</v>
      </c>
      <c r="E34" s="7">
        <f>E13-E32</f>
        <v>26952532.589999981</v>
      </c>
      <c r="F34" s="7"/>
      <c r="G34" s="7">
        <f>G13-G32</f>
        <v>-24014125.850000046</v>
      </c>
      <c r="H34" s="7">
        <f>H13-H32</f>
        <v>24826443.919999838</v>
      </c>
      <c r="I34" s="16"/>
      <c r="L34" s="138"/>
      <c r="M34" s="138"/>
      <c r="N34" s="138"/>
      <c r="O34" s="138"/>
      <c r="P34" s="138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4"/>
      <c r="L35" s="138"/>
      <c r="M35" s="138"/>
      <c r="N35" s="138"/>
      <c r="O35" s="138"/>
      <c r="P35" s="138"/>
    </row>
    <row r="36" spans="1:16" s="5" customFormat="1" x14ac:dyDescent="0.2">
      <c r="A36" s="18" t="s">
        <v>67</v>
      </c>
      <c r="B36" s="20"/>
      <c r="C36" s="20"/>
      <c r="D36" s="20"/>
      <c r="E36" s="20">
        <v>0</v>
      </c>
      <c r="F36" s="20"/>
      <c r="G36" s="20">
        <f>E36</f>
        <v>0</v>
      </c>
      <c r="H36" s="20"/>
      <c r="I36" s="21"/>
      <c r="L36" s="138"/>
      <c r="M36" s="138"/>
      <c r="N36" s="138"/>
      <c r="O36" s="138"/>
      <c r="P36" s="138"/>
    </row>
    <row r="37" spans="1:16" s="5" customFormat="1" ht="15.75" thickBot="1" x14ac:dyDescent="0.25">
      <c r="A37" s="22" t="s">
        <v>28</v>
      </c>
      <c r="B37" s="24"/>
      <c r="C37" s="24"/>
      <c r="D37" s="24"/>
      <c r="E37" s="24">
        <f>SUM(E34:E36)</f>
        <v>26952532.589999981</v>
      </c>
      <c r="F37" s="24"/>
      <c r="G37" s="24">
        <f>SUM(G34:G36)</f>
        <v>-24014125.850000046</v>
      </c>
      <c r="H37" s="24"/>
      <c r="I37" s="25"/>
      <c r="L37" s="138"/>
      <c r="M37" s="138"/>
      <c r="N37" s="138"/>
      <c r="O37" s="138"/>
      <c r="P37" s="138"/>
    </row>
    <row r="38" spans="1:16" s="5" customFormat="1" x14ac:dyDescent="0.2">
      <c r="B38" s="33"/>
      <c r="C38" s="33"/>
      <c r="D38" s="33"/>
      <c r="E38" s="33"/>
      <c r="F38" s="33"/>
      <c r="G38" s="33"/>
      <c r="H38" s="33"/>
      <c r="L38" s="138"/>
      <c r="M38" s="138"/>
      <c r="N38" s="138"/>
      <c r="O38" s="138"/>
      <c r="P38" s="138"/>
    </row>
    <row r="39" spans="1:16" x14ac:dyDescent="0.25">
      <c r="I39" s="30"/>
      <c r="J39" s="137"/>
      <c r="K39" s="137"/>
      <c r="O39" s="1"/>
      <c r="P39" s="1"/>
    </row>
    <row r="40" spans="1:16" x14ac:dyDescent="0.25">
      <c r="B40" s="137"/>
      <c r="C40" s="137"/>
      <c r="D40" s="137"/>
      <c r="E40" s="137"/>
      <c r="F40" s="137"/>
      <c r="G40" s="1"/>
      <c r="H40" s="1"/>
      <c r="L40" s="1"/>
      <c r="M40" s="1"/>
      <c r="N40" s="1"/>
      <c r="O40" s="1"/>
      <c r="P40" s="1"/>
    </row>
    <row r="41" spans="1:16" x14ac:dyDescent="0.25">
      <c r="B41" s="137"/>
      <c r="C41" s="137"/>
      <c r="D41" s="137"/>
      <c r="E41" s="137"/>
      <c r="F41" s="137"/>
      <c r="G41" s="1"/>
      <c r="H41" s="1"/>
      <c r="L41" s="1"/>
      <c r="M41" s="1"/>
      <c r="N41" s="1"/>
      <c r="O41" s="1"/>
      <c r="P41" s="1"/>
    </row>
    <row r="42" spans="1:16" x14ac:dyDescent="0.25">
      <c r="B42" s="137"/>
      <c r="C42" s="137"/>
      <c r="D42" s="137"/>
      <c r="E42" s="137"/>
      <c r="F42" s="137"/>
      <c r="G42" s="1"/>
      <c r="H42" s="1"/>
      <c r="J42" s="137"/>
      <c r="K42" s="137"/>
      <c r="O42" s="1"/>
      <c r="P42" s="1"/>
    </row>
    <row r="43" spans="1:16" x14ac:dyDescent="0.25">
      <c r="B43" s="137"/>
      <c r="C43" s="137"/>
      <c r="D43" s="137"/>
      <c r="E43" s="137"/>
      <c r="F43" s="137"/>
      <c r="G43" s="137"/>
      <c r="H43" s="137"/>
      <c r="I43" s="137"/>
      <c r="L43" s="1"/>
      <c r="M43" s="1"/>
      <c r="N43" s="1"/>
      <c r="O43" s="1"/>
      <c r="P43" s="1"/>
    </row>
    <row r="44" spans="1:16" x14ac:dyDescent="0.25">
      <c r="B44" s="137"/>
      <c r="C44" s="137"/>
      <c r="D44" s="137"/>
      <c r="E44" s="137"/>
      <c r="F44" s="137"/>
      <c r="G44" s="137"/>
      <c r="H44" s="137"/>
      <c r="I44" s="137"/>
      <c r="L44" s="1"/>
      <c r="M44" s="1"/>
      <c r="N44" s="1"/>
      <c r="O44" s="1"/>
      <c r="P44" s="1"/>
    </row>
    <row r="45" spans="1:16" x14ac:dyDescent="0.25">
      <c r="B45" s="137"/>
      <c r="C45" s="137"/>
      <c r="D45" s="137"/>
      <c r="E45" s="137"/>
      <c r="F45" s="137"/>
      <c r="G45" s="137"/>
      <c r="H45" s="137"/>
      <c r="I45" s="137"/>
      <c r="L45" s="1"/>
      <c r="M45" s="1"/>
      <c r="N45" s="1"/>
      <c r="O45" s="1"/>
      <c r="P45" s="1"/>
    </row>
    <row r="46" spans="1:16" x14ac:dyDescent="0.25">
      <c r="B46" s="137"/>
      <c r="C46" s="137"/>
      <c r="D46" s="137"/>
      <c r="E46" s="137"/>
      <c r="F46" s="137"/>
      <c r="G46" s="137"/>
      <c r="H46" s="137"/>
      <c r="I46" s="137"/>
      <c r="L46" s="1"/>
      <c r="M46" s="1"/>
      <c r="N46" s="1"/>
      <c r="O46" s="1"/>
      <c r="P46" s="1"/>
    </row>
    <row r="47" spans="1:16" x14ac:dyDescent="0.25">
      <c r="B47" s="137"/>
      <c r="C47" s="137"/>
      <c r="D47" s="137"/>
      <c r="E47" s="137"/>
      <c r="F47" s="137"/>
      <c r="G47" s="137"/>
      <c r="H47" s="137"/>
      <c r="I47" s="137"/>
      <c r="L47" s="1"/>
      <c r="M47" s="1"/>
      <c r="N47" s="1"/>
      <c r="O47" s="1"/>
      <c r="P47" s="1"/>
    </row>
    <row r="48" spans="1:16" x14ac:dyDescent="0.25">
      <c r="B48" s="137"/>
      <c r="C48" s="137"/>
      <c r="D48" s="137"/>
      <c r="E48" s="137"/>
      <c r="F48" s="137"/>
      <c r="G48" s="137"/>
      <c r="H48" s="137"/>
      <c r="I48" s="137"/>
      <c r="L48" s="1"/>
      <c r="M48" s="1"/>
      <c r="N48" s="1"/>
      <c r="O48" s="1"/>
      <c r="P48" s="1"/>
    </row>
    <row r="49" spans="2:16" x14ac:dyDescent="0.25">
      <c r="B49" s="137"/>
      <c r="C49" s="137"/>
      <c r="D49" s="137"/>
      <c r="E49" s="137"/>
      <c r="F49" s="137"/>
      <c r="G49" s="137"/>
      <c r="H49" s="137"/>
      <c r="I49" s="137"/>
      <c r="L49" s="1"/>
      <c r="M49" s="1"/>
      <c r="N49" s="1"/>
      <c r="O49" s="1"/>
      <c r="P49" s="1"/>
    </row>
    <row r="50" spans="2:16" x14ac:dyDescent="0.25">
      <c r="B50" s="137"/>
      <c r="C50" s="137"/>
      <c r="D50" s="137"/>
      <c r="E50" s="137"/>
      <c r="F50" s="137"/>
      <c r="G50" s="137"/>
      <c r="H50" s="137"/>
      <c r="L50" s="1"/>
      <c r="M50" s="1"/>
      <c r="N50" s="1"/>
      <c r="O50" s="1"/>
      <c r="P50" s="1"/>
    </row>
    <row r="51" spans="2:16" x14ac:dyDescent="0.25">
      <c r="B51" s="137"/>
      <c r="C51" s="137"/>
      <c r="D51" s="137"/>
      <c r="E51" s="137"/>
      <c r="F51" s="137"/>
      <c r="G51" s="137"/>
      <c r="H51" s="137"/>
      <c r="L51" s="1"/>
      <c r="M51" s="1"/>
      <c r="N51" s="1"/>
      <c r="O51" s="1"/>
      <c r="P51" s="1"/>
    </row>
    <row r="52" spans="2:16" x14ac:dyDescent="0.25">
      <c r="B52" s="137"/>
      <c r="C52" s="137"/>
      <c r="D52" s="137"/>
      <c r="E52" s="137"/>
      <c r="F52" s="137"/>
      <c r="G52" s="137"/>
      <c r="H52" s="137"/>
      <c r="L52" s="1"/>
      <c r="M52" s="1"/>
      <c r="N52" s="1"/>
      <c r="O52" s="1"/>
      <c r="P52" s="1"/>
    </row>
    <row r="53" spans="2:16" x14ac:dyDescent="0.25">
      <c r="B53" s="137"/>
      <c r="C53" s="137"/>
      <c r="D53" s="137"/>
      <c r="E53" s="137"/>
      <c r="F53" s="137"/>
      <c r="G53" s="137"/>
      <c r="H53" s="137"/>
      <c r="L53" s="1"/>
      <c r="M53" s="1"/>
      <c r="N53" s="1"/>
      <c r="O53" s="1"/>
      <c r="P53" s="1"/>
    </row>
    <row r="54" spans="2:16" x14ac:dyDescent="0.25">
      <c r="B54" s="137"/>
      <c r="C54" s="137"/>
      <c r="D54" s="137"/>
      <c r="E54" s="137"/>
      <c r="F54" s="137"/>
      <c r="G54" s="137"/>
      <c r="H54" s="137"/>
      <c r="L54" s="1"/>
      <c r="M54" s="1"/>
      <c r="N54" s="1"/>
      <c r="O54" s="1"/>
      <c r="P54" s="1"/>
    </row>
    <row r="55" spans="2:16" x14ac:dyDescent="0.25">
      <c r="B55" s="137"/>
      <c r="C55" s="137"/>
      <c r="D55" s="137"/>
      <c r="E55" s="137"/>
      <c r="F55" s="137"/>
      <c r="G55" s="137"/>
      <c r="H55" s="137"/>
      <c r="L55" s="1"/>
      <c r="M55" s="1"/>
      <c r="N55" s="1"/>
      <c r="O55" s="1"/>
      <c r="P55" s="1"/>
    </row>
    <row r="56" spans="2:16" x14ac:dyDescent="0.25">
      <c r="B56" s="137"/>
      <c r="C56" s="137"/>
      <c r="D56" s="137"/>
      <c r="E56" s="137"/>
      <c r="F56" s="137"/>
      <c r="G56" s="1"/>
      <c r="H56" s="1"/>
      <c r="L56" s="1"/>
      <c r="M56" s="1"/>
      <c r="N56" s="1"/>
      <c r="O56" s="1"/>
      <c r="P56" s="1"/>
    </row>
    <row r="57" spans="2:16" x14ac:dyDescent="0.25">
      <c r="B57" s="137"/>
      <c r="C57" s="137"/>
      <c r="D57" s="137"/>
      <c r="E57" s="137"/>
      <c r="F57" s="137"/>
      <c r="G57" s="1"/>
      <c r="H57" s="1"/>
      <c r="L57" s="1"/>
      <c r="M57" s="1"/>
      <c r="N57" s="1"/>
      <c r="O57" s="1"/>
      <c r="P57" s="1"/>
    </row>
    <row r="58" spans="2:16" x14ac:dyDescent="0.25">
      <c r="B58" s="137"/>
      <c r="C58" s="137"/>
      <c r="D58" s="137"/>
      <c r="E58" s="137"/>
      <c r="F58" s="137"/>
      <c r="G58" s="1"/>
      <c r="H58" s="1"/>
      <c r="L58" s="1"/>
      <c r="M58" s="1"/>
      <c r="N58" s="1"/>
      <c r="O58" s="1"/>
      <c r="P58" s="1"/>
    </row>
    <row r="59" spans="2:16" x14ac:dyDescent="0.25">
      <c r="B59" s="137"/>
      <c r="C59" s="137"/>
      <c r="D59" s="137"/>
      <c r="E59" s="137"/>
      <c r="F59" s="137"/>
      <c r="G59" s="1"/>
      <c r="H59" s="1"/>
      <c r="L59" s="1"/>
      <c r="M59" s="1"/>
      <c r="N59" s="1"/>
      <c r="O59" s="1"/>
      <c r="P59" s="1"/>
    </row>
    <row r="60" spans="2:16" x14ac:dyDescent="0.25">
      <c r="B60" s="137"/>
      <c r="C60" s="137"/>
      <c r="D60" s="137"/>
      <c r="E60" s="137"/>
      <c r="F60" s="137"/>
      <c r="G60" s="1"/>
      <c r="H60" s="1"/>
      <c r="L60" s="1"/>
      <c r="M60" s="1"/>
      <c r="N60" s="1"/>
      <c r="O60" s="1"/>
      <c r="P60" s="1"/>
    </row>
    <row r="61" spans="2:16" x14ac:dyDescent="0.25">
      <c r="B61" s="137"/>
      <c r="C61" s="137"/>
      <c r="D61" s="137"/>
      <c r="E61" s="137"/>
      <c r="F61" s="137"/>
      <c r="G61" s="1"/>
      <c r="H61" s="1"/>
      <c r="L61" s="1"/>
      <c r="M61" s="1"/>
      <c r="N61" s="1"/>
      <c r="O61" s="1"/>
      <c r="P61" s="1"/>
    </row>
    <row r="62" spans="2:16" x14ac:dyDescent="0.25">
      <c r="B62" s="137"/>
      <c r="C62" s="137"/>
      <c r="D62" s="137"/>
      <c r="E62" s="137"/>
      <c r="F62" s="137"/>
      <c r="G62" s="1"/>
      <c r="H62" s="1"/>
      <c r="L62" s="1"/>
      <c r="M62" s="1"/>
      <c r="N62" s="1"/>
      <c r="O62" s="1"/>
      <c r="P62" s="1"/>
    </row>
    <row r="63" spans="2:16" x14ac:dyDescent="0.25">
      <c r="B63" s="137"/>
      <c r="C63" s="137"/>
      <c r="D63" s="137"/>
      <c r="E63" s="137"/>
      <c r="F63" s="137"/>
      <c r="G63" s="1"/>
      <c r="H63" s="1"/>
      <c r="L63" s="1"/>
      <c r="M63" s="1"/>
      <c r="N63" s="1"/>
      <c r="O63" s="1"/>
      <c r="P63" s="1"/>
    </row>
    <row r="64" spans="2:16" x14ac:dyDescent="0.25">
      <c r="B64" s="137"/>
      <c r="C64" s="137"/>
      <c r="D64" s="137"/>
      <c r="E64" s="137"/>
      <c r="F64" s="137"/>
      <c r="G64" s="1"/>
      <c r="H64" s="1"/>
      <c r="L64" s="1"/>
      <c r="M64" s="1"/>
      <c r="N64" s="1"/>
      <c r="O64" s="1"/>
      <c r="P64" s="1"/>
    </row>
    <row r="65" spans="2:16" x14ac:dyDescent="0.25">
      <c r="B65" s="137"/>
      <c r="C65" s="137"/>
      <c r="D65" s="137"/>
      <c r="E65" s="137"/>
      <c r="F65" s="137"/>
      <c r="G65" s="1"/>
      <c r="H65" s="1"/>
      <c r="L65" s="1"/>
      <c r="M65" s="1"/>
      <c r="N65" s="1"/>
      <c r="O65" s="1"/>
      <c r="P65" s="1"/>
    </row>
    <row r="66" spans="2:16" x14ac:dyDescent="0.25">
      <c r="B66" s="137"/>
      <c r="C66" s="137"/>
      <c r="D66" s="137"/>
      <c r="E66" s="137"/>
      <c r="F66" s="137"/>
      <c r="G66" s="1"/>
      <c r="H66" s="1"/>
      <c r="L66" s="1"/>
      <c r="M66" s="1"/>
      <c r="N66" s="1"/>
      <c r="O66" s="1"/>
      <c r="P66" s="1"/>
    </row>
    <row r="67" spans="2:16" x14ac:dyDescent="0.25">
      <c r="B67" s="137"/>
      <c r="C67" s="137"/>
      <c r="D67" s="137"/>
      <c r="E67" s="137"/>
      <c r="F67" s="137"/>
      <c r="G67" s="137"/>
      <c r="H67" s="137"/>
      <c r="L67" s="1"/>
      <c r="M67" s="1"/>
      <c r="N67" s="1"/>
      <c r="O67" s="1"/>
      <c r="P67" s="1"/>
    </row>
    <row r="68" spans="2:16" x14ac:dyDescent="0.25">
      <c r="B68" s="137"/>
      <c r="C68" s="137"/>
      <c r="D68" s="137"/>
      <c r="E68" s="137"/>
      <c r="F68" s="137"/>
      <c r="G68" s="137"/>
      <c r="H68" s="137"/>
      <c r="L68" s="1"/>
      <c r="M68" s="1"/>
      <c r="N68" s="1"/>
      <c r="O68" s="1"/>
      <c r="P68" s="1"/>
    </row>
    <row r="69" spans="2:16" x14ac:dyDescent="0.25">
      <c r="B69" s="137"/>
      <c r="C69" s="137"/>
      <c r="D69" s="137"/>
      <c r="E69" s="137"/>
      <c r="F69" s="137"/>
      <c r="G69" s="137"/>
      <c r="H69" s="137"/>
      <c r="L69" s="1"/>
      <c r="M69" s="1"/>
      <c r="N69" s="1"/>
      <c r="O69" s="1"/>
      <c r="P69" s="1"/>
    </row>
    <row r="70" spans="2:16" x14ac:dyDescent="0.25">
      <c r="B70" s="137"/>
      <c r="C70" s="137"/>
      <c r="D70" s="137"/>
      <c r="E70" s="137"/>
      <c r="F70" s="137"/>
      <c r="G70" s="137"/>
      <c r="H70" s="137"/>
      <c r="I70" s="137"/>
      <c r="J70" s="137"/>
      <c r="L70" s="1"/>
      <c r="M70" s="1"/>
      <c r="N70" s="1"/>
      <c r="O70" s="1"/>
      <c r="P70" s="1"/>
    </row>
    <row r="71" spans="2:16" x14ac:dyDescent="0.25">
      <c r="B71" s="137"/>
      <c r="C71" s="137"/>
      <c r="D71" s="137"/>
      <c r="E71" s="137"/>
      <c r="F71" s="137"/>
      <c r="G71" s="137"/>
      <c r="H71" s="137"/>
      <c r="I71" s="137"/>
      <c r="J71" s="137"/>
      <c r="L71" s="1"/>
      <c r="M71" s="1"/>
      <c r="N71" s="1"/>
      <c r="O71" s="1"/>
      <c r="P71" s="1"/>
    </row>
    <row r="72" spans="2:16" x14ac:dyDescent="0.25">
      <c r="B72" s="137"/>
      <c r="C72" s="137"/>
      <c r="D72" s="137"/>
      <c r="E72" s="137"/>
      <c r="F72" s="137"/>
      <c r="G72" s="137"/>
      <c r="H72" s="137"/>
      <c r="I72" s="137"/>
      <c r="J72" s="137"/>
      <c r="L72" s="1"/>
      <c r="M72" s="1"/>
      <c r="N72" s="1"/>
      <c r="O72" s="1"/>
      <c r="P72" s="1"/>
    </row>
    <row r="73" spans="2:16" x14ac:dyDescent="0.25">
      <c r="B73" s="137"/>
      <c r="C73" s="137"/>
      <c r="D73" s="137"/>
      <c r="E73" s="137"/>
      <c r="F73" s="137"/>
      <c r="G73" s="137"/>
      <c r="H73" s="137"/>
      <c r="I73" s="137"/>
      <c r="J73" s="137"/>
      <c r="L73" s="1"/>
      <c r="M73" s="1"/>
      <c r="N73" s="1"/>
      <c r="O73" s="1"/>
      <c r="P73" s="1"/>
    </row>
    <row r="74" spans="2:16" x14ac:dyDescent="0.25">
      <c r="B74" s="137"/>
      <c r="C74" s="137"/>
      <c r="D74" s="137"/>
      <c r="E74" s="137"/>
      <c r="F74" s="137"/>
      <c r="G74" s="137"/>
      <c r="H74" s="137"/>
      <c r="I74" s="137"/>
      <c r="J74" s="137"/>
      <c r="L74" s="1"/>
      <c r="M74" s="1"/>
      <c r="N74" s="1"/>
      <c r="O74" s="1"/>
      <c r="P74" s="1"/>
    </row>
    <row r="75" spans="2:16" x14ac:dyDescent="0.25">
      <c r="B75" s="137"/>
      <c r="C75" s="137"/>
      <c r="D75" s="137"/>
      <c r="E75" s="137"/>
      <c r="F75" s="137"/>
      <c r="G75" s="137"/>
      <c r="H75" s="137"/>
      <c r="I75" s="137"/>
      <c r="J75" s="137"/>
      <c r="L75" s="1"/>
      <c r="M75" s="1"/>
      <c r="N75" s="1"/>
      <c r="O75" s="1"/>
      <c r="P75" s="1"/>
    </row>
    <row r="76" spans="2:16" x14ac:dyDescent="0.25">
      <c r="B76" s="137"/>
      <c r="C76" s="137"/>
      <c r="D76" s="137"/>
      <c r="E76" s="137"/>
      <c r="F76" s="137"/>
      <c r="G76" s="137"/>
      <c r="H76" s="137"/>
      <c r="I76" s="137"/>
      <c r="J76" s="137"/>
      <c r="L76" s="1"/>
      <c r="M76" s="1"/>
      <c r="N76" s="1"/>
      <c r="O76" s="1"/>
      <c r="P76" s="1"/>
    </row>
    <row r="77" spans="2:16" x14ac:dyDescent="0.25">
      <c r="B77" s="137"/>
      <c r="C77" s="137"/>
      <c r="D77" s="137"/>
      <c r="E77" s="137"/>
      <c r="F77" s="137"/>
      <c r="G77" s="137"/>
      <c r="H77" s="137"/>
      <c r="I77" s="137"/>
      <c r="J77" s="137"/>
      <c r="L77" s="1"/>
      <c r="M77" s="1"/>
      <c r="N77" s="1"/>
      <c r="O77" s="1"/>
      <c r="P77" s="1"/>
    </row>
    <row r="78" spans="2:16" x14ac:dyDescent="0.25">
      <c r="B78" s="137"/>
      <c r="C78" s="137"/>
      <c r="D78" s="137"/>
      <c r="E78" s="137"/>
      <c r="F78" s="137"/>
      <c r="G78" s="137"/>
      <c r="H78" s="137"/>
      <c r="I78" s="137"/>
      <c r="J78" s="137"/>
      <c r="L78" s="1"/>
      <c r="M78" s="1"/>
      <c r="N78" s="1"/>
      <c r="O78" s="1"/>
      <c r="P78" s="1"/>
    </row>
    <row r="79" spans="2:16" x14ac:dyDescent="0.25">
      <c r="B79" s="137"/>
      <c r="C79" s="137"/>
      <c r="D79" s="137"/>
      <c r="E79" s="137"/>
      <c r="F79" s="137"/>
      <c r="G79" s="137"/>
      <c r="H79" s="137"/>
      <c r="I79" s="137"/>
      <c r="J79" s="137"/>
      <c r="L79" s="1"/>
      <c r="M79" s="1"/>
      <c r="N79" s="1"/>
      <c r="O79" s="1"/>
      <c r="P79" s="1"/>
    </row>
    <row r="80" spans="2:16" x14ac:dyDescent="0.25">
      <c r="B80" s="137"/>
      <c r="C80" s="137"/>
      <c r="D80" s="137"/>
      <c r="E80" s="137"/>
      <c r="F80" s="137"/>
      <c r="G80" s="137"/>
      <c r="H80" s="137"/>
      <c r="I80" s="137"/>
      <c r="J80" s="137"/>
      <c r="L80" s="1"/>
      <c r="M80" s="1"/>
      <c r="N80" s="1"/>
      <c r="O80" s="1"/>
      <c r="P80" s="1"/>
    </row>
    <row r="81" spans="2:16" x14ac:dyDescent="0.25"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M81" s="1"/>
      <c r="N81" s="1"/>
      <c r="O81" s="1"/>
      <c r="P81" s="1"/>
    </row>
    <row r="82" spans="2:16" x14ac:dyDescent="0.25"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M82" s="1"/>
      <c r="N82" s="1"/>
      <c r="O82" s="1"/>
      <c r="P82" s="1"/>
    </row>
    <row r="83" spans="2:16" x14ac:dyDescent="0.25"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M83" s="1"/>
      <c r="N83" s="1"/>
      <c r="O83" s="1"/>
      <c r="P83" s="1"/>
    </row>
    <row r="84" spans="2:16" x14ac:dyDescent="0.25"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M84" s="1"/>
      <c r="N84" s="1"/>
      <c r="O84" s="1"/>
      <c r="P84" s="1"/>
    </row>
    <row r="85" spans="2:16" x14ac:dyDescent="0.25"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M85" s="1"/>
      <c r="N85" s="1"/>
      <c r="O85" s="1"/>
      <c r="P85" s="1"/>
    </row>
    <row r="86" spans="2:16" x14ac:dyDescent="0.25"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M86" s="1"/>
      <c r="N86" s="1"/>
      <c r="O86" s="1"/>
      <c r="P86" s="1"/>
    </row>
    <row r="87" spans="2:16" x14ac:dyDescent="0.25"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M87" s="1"/>
      <c r="N87" s="1"/>
      <c r="O87" s="1"/>
      <c r="P87" s="1"/>
    </row>
    <row r="88" spans="2:16" x14ac:dyDescent="0.25">
      <c r="B88" s="137"/>
      <c r="C88" s="137"/>
      <c r="D88" s="137"/>
      <c r="E88" s="137"/>
      <c r="F88" s="137"/>
      <c r="G88" s="137"/>
      <c r="H88" s="137"/>
      <c r="I88" s="30"/>
      <c r="J88" s="137"/>
      <c r="K88" s="137"/>
      <c r="O88" s="1"/>
      <c r="P88" s="1"/>
    </row>
    <row r="89" spans="2:16" x14ac:dyDescent="0.25">
      <c r="B89" s="137"/>
      <c r="C89" s="137"/>
      <c r="D89" s="137"/>
      <c r="E89" s="137"/>
      <c r="F89" s="137"/>
      <c r="G89" s="137"/>
      <c r="H89" s="137"/>
      <c r="I89" s="30"/>
      <c r="J89" s="137"/>
      <c r="K89" s="137"/>
      <c r="O89" s="1"/>
      <c r="P89" s="1"/>
    </row>
    <row r="90" spans="2:16" x14ac:dyDescent="0.25">
      <c r="B90" s="137"/>
      <c r="C90" s="137"/>
      <c r="D90" s="137"/>
      <c r="E90" s="137"/>
      <c r="F90" s="137"/>
      <c r="G90" s="137"/>
      <c r="H90" s="137"/>
      <c r="I90" s="30"/>
      <c r="J90" s="137"/>
      <c r="K90" s="137"/>
      <c r="O90" s="1"/>
      <c r="P90" s="1"/>
    </row>
    <row r="91" spans="2:16" x14ac:dyDescent="0.25">
      <c r="B91" s="137"/>
      <c r="C91" s="137"/>
      <c r="D91" s="137"/>
      <c r="E91" s="137"/>
      <c r="F91" s="137"/>
      <c r="G91" s="137"/>
      <c r="H91" s="137"/>
      <c r="I91" s="30"/>
      <c r="J91" s="137"/>
      <c r="K91" s="137"/>
      <c r="O91" s="1"/>
      <c r="P91" s="1"/>
    </row>
    <row r="92" spans="2:16" x14ac:dyDescent="0.25">
      <c r="B92" s="137"/>
      <c r="I92" s="30"/>
      <c r="J92" s="137"/>
      <c r="K92" s="137"/>
      <c r="O92" s="1"/>
      <c r="P92" s="1"/>
    </row>
    <row r="93" spans="2:16" x14ac:dyDescent="0.25">
      <c r="B93" s="137"/>
      <c r="I93" s="30"/>
      <c r="J93" s="137"/>
      <c r="K93" s="137"/>
      <c r="O93" s="1"/>
      <c r="P93" s="1"/>
    </row>
    <row r="94" spans="2:16" x14ac:dyDescent="0.25">
      <c r="B94" s="137"/>
      <c r="G94" s="1"/>
      <c r="H94" s="1"/>
      <c r="J94" s="137"/>
      <c r="K94" s="137"/>
      <c r="O94" s="1"/>
      <c r="P94" s="1"/>
    </row>
    <row r="95" spans="2:16" x14ac:dyDescent="0.25">
      <c r="B95" s="137"/>
      <c r="G95" s="1"/>
      <c r="H95" s="1"/>
      <c r="J95" s="137"/>
      <c r="K95" s="137"/>
      <c r="O95" s="1"/>
      <c r="P95" s="1"/>
    </row>
    <row r="96" spans="2:16" x14ac:dyDescent="0.25">
      <c r="B96" s="137"/>
      <c r="G96" s="1"/>
      <c r="H96" s="1"/>
      <c r="J96" s="137"/>
      <c r="K96" s="137"/>
      <c r="O96" s="1"/>
      <c r="P96" s="1"/>
    </row>
    <row r="97" spans="2:16" x14ac:dyDescent="0.25">
      <c r="B97" s="137"/>
      <c r="G97" s="1"/>
      <c r="H97" s="1"/>
      <c r="J97" s="137"/>
      <c r="K97" s="137"/>
      <c r="O97" s="1"/>
      <c r="P97" s="1"/>
    </row>
    <row r="98" spans="2:16" x14ac:dyDescent="0.25">
      <c r="B98" s="137"/>
      <c r="G98" s="1"/>
      <c r="H98" s="1"/>
      <c r="J98" s="137"/>
      <c r="K98" s="137"/>
      <c r="O98" s="1"/>
      <c r="P98" s="1"/>
    </row>
    <row r="99" spans="2:16" x14ac:dyDescent="0.25">
      <c r="B99" s="137"/>
      <c r="G99" s="1"/>
      <c r="H99" s="1"/>
      <c r="J99" s="137"/>
      <c r="K99" s="137"/>
      <c r="O99" s="1"/>
      <c r="P99" s="1"/>
    </row>
    <row r="100" spans="2:16" x14ac:dyDescent="0.25">
      <c r="B100" s="137"/>
      <c r="G100" s="1"/>
      <c r="H100" s="1"/>
      <c r="J100" s="137"/>
      <c r="K100" s="137"/>
      <c r="O100" s="1"/>
      <c r="P100" s="1"/>
    </row>
    <row r="101" spans="2:16" x14ac:dyDescent="0.25">
      <c r="B101" s="137"/>
      <c r="G101" s="1"/>
      <c r="H101" s="1"/>
      <c r="J101" s="137"/>
      <c r="K101" s="137"/>
      <c r="O101" s="1"/>
      <c r="P101" s="1"/>
    </row>
    <row r="102" spans="2:16" x14ac:dyDescent="0.25">
      <c r="B102" s="137"/>
      <c r="G102" s="1"/>
      <c r="H102" s="1"/>
      <c r="J102" s="137"/>
      <c r="K102" s="137"/>
      <c r="O102" s="1"/>
      <c r="P102" s="1"/>
    </row>
    <row r="103" spans="2:16" x14ac:dyDescent="0.25">
      <c r="B103" s="137"/>
      <c r="G103" s="1"/>
      <c r="H103" s="1"/>
      <c r="J103" s="137"/>
      <c r="K103" s="137"/>
      <c r="O103" s="1"/>
      <c r="P103" s="1"/>
    </row>
    <row r="104" spans="2:16" x14ac:dyDescent="0.25">
      <c r="B104" s="137"/>
      <c r="G104" s="1"/>
      <c r="H104" s="1"/>
      <c r="J104" s="137"/>
      <c r="K104" s="137"/>
      <c r="O104" s="1"/>
      <c r="P104" s="1"/>
    </row>
    <row r="105" spans="2:16" x14ac:dyDescent="0.25">
      <c r="G105" s="1"/>
      <c r="H105" s="1"/>
      <c r="J105" s="137"/>
      <c r="K105" s="137"/>
      <c r="O105" s="1"/>
      <c r="P105" s="1"/>
    </row>
    <row r="106" spans="2:16" x14ac:dyDescent="0.25">
      <c r="G106" s="1"/>
      <c r="H106" s="1"/>
      <c r="J106" s="137"/>
      <c r="K106" s="137"/>
      <c r="O106" s="1"/>
      <c r="P106" s="1"/>
    </row>
    <row r="107" spans="2:16" x14ac:dyDescent="0.25">
      <c r="G107" s="1"/>
      <c r="H107" s="1"/>
      <c r="J107" s="137"/>
      <c r="K107" s="137"/>
      <c r="O107" s="1"/>
      <c r="P107" s="1"/>
    </row>
    <row r="108" spans="2:16" x14ac:dyDescent="0.25">
      <c r="G108" s="1"/>
      <c r="H108" s="1"/>
      <c r="J108" s="137"/>
      <c r="K108" s="137"/>
      <c r="O108" s="1"/>
      <c r="P108" s="1"/>
    </row>
    <row r="109" spans="2:16" x14ac:dyDescent="0.25">
      <c r="G109" s="1"/>
      <c r="H109" s="1"/>
      <c r="J109" s="137"/>
      <c r="K109" s="137"/>
      <c r="O109" s="1"/>
      <c r="P109" s="1"/>
    </row>
    <row r="110" spans="2:16" x14ac:dyDescent="0.25">
      <c r="G110" s="1"/>
      <c r="H110" s="1"/>
      <c r="J110" s="137"/>
      <c r="K110" s="137"/>
      <c r="O110" s="1"/>
      <c r="P110" s="1"/>
    </row>
    <row r="111" spans="2:16" x14ac:dyDescent="0.25">
      <c r="G111" s="1"/>
      <c r="H111" s="1"/>
      <c r="J111" s="137"/>
      <c r="K111" s="137"/>
      <c r="O111" s="1"/>
      <c r="P111" s="1"/>
    </row>
    <row r="112" spans="2:16" x14ac:dyDescent="0.25">
      <c r="G112" s="1"/>
      <c r="H112" s="1"/>
      <c r="J112" s="137"/>
      <c r="K112" s="137"/>
      <c r="O112" s="1"/>
      <c r="P112" s="1"/>
    </row>
    <row r="113" spans="7:16" x14ac:dyDescent="0.25">
      <c r="G113" s="1"/>
      <c r="H113" s="1"/>
      <c r="J113" s="137"/>
      <c r="K113" s="137"/>
      <c r="O113" s="1"/>
      <c r="P113" s="1"/>
    </row>
    <row r="114" spans="7:16" x14ac:dyDescent="0.25">
      <c r="G114" s="1"/>
      <c r="H114" s="1"/>
      <c r="J114" s="137"/>
      <c r="K114" s="137"/>
      <c r="O114" s="1"/>
      <c r="P114" s="1"/>
    </row>
    <row r="115" spans="7:16" x14ac:dyDescent="0.25">
      <c r="G115" s="1"/>
      <c r="H115" s="1"/>
      <c r="J115" s="137"/>
      <c r="K115" s="137"/>
      <c r="O115" s="1"/>
      <c r="P115" s="1"/>
    </row>
    <row r="116" spans="7:16" x14ac:dyDescent="0.25">
      <c r="G116" s="1"/>
      <c r="H116" s="1"/>
      <c r="J116" s="137"/>
      <c r="K116" s="137"/>
      <c r="O116" s="1"/>
      <c r="P116" s="1"/>
    </row>
    <row r="117" spans="7:16" x14ac:dyDescent="0.25">
      <c r="G117" s="1"/>
      <c r="H117" s="1"/>
      <c r="J117" s="137"/>
      <c r="K117" s="137"/>
      <c r="O117" s="1"/>
      <c r="P117" s="1"/>
    </row>
    <row r="118" spans="7:16" x14ac:dyDescent="0.25">
      <c r="G118" s="1"/>
      <c r="H118" s="1"/>
      <c r="J118" s="137"/>
      <c r="K118" s="137"/>
      <c r="O118" s="1"/>
      <c r="P118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C29" sqref="C29"/>
    </sheetView>
  </sheetViews>
  <sheetFormatPr defaultRowHeight="15" x14ac:dyDescent="0.25"/>
  <cols>
    <col min="1" max="1" width="49.7109375" style="1" bestFit="1" customWidth="1"/>
    <col min="2" max="3" width="15" style="30" bestFit="1" customWidth="1"/>
    <col min="4" max="5" width="13.28515625" style="30" bestFit="1" customWidth="1"/>
    <col min="6" max="6" width="17.7109375" style="30" customWidth="1"/>
    <col min="7" max="7" width="13.5703125" style="30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9" ht="18.75" x14ac:dyDescent="0.3">
      <c r="A2" s="152" t="s">
        <v>79</v>
      </c>
      <c r="B2" s="152"/>
      <c r="C2" s="152"/>
      <c r="D2" s="152"/>
      <c r="E2" s="152"/>
      <c r="F2" s="152"/>
      <c r="G2" s="152"/>
      <c r="H2" s="152"/>
      <c r="I2" s="152"/>
    </row>
    <row r="3" spans="1: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9" x14ac:dyDescent="0.25">
      <c r="A4" s="153">
        <v>45199</v>
      </c>
      <c r="B4" s="153"/>
      <c r="C4" s="153"/>
      <c r="D4" s="153"/>
      <c r="E4" s="153"/>
      <c r="F4" s="153"/>
      <c r="G4" s="153"/>
      <c r="H4" s="153"/>
      <c r="I4" s="153"/>
    </row>
    <row r="5" spans="1: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9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" t="s">
        <v>7</v>
      </c>
      <c r="I7" s="4" t="s">
        <v>31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5" t="str">
        <f t="shared" ref="I8:I11" si="2">IF(C8=0,"NA",H8/C8)</f>
        <v>NA</v>
      </c>
    </row>
    <row r="9" spans="1:9" s="5" customFormat="1" x14ac:dyDescent="0.2">
      <c r="A9" s="6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0</v>
      </c>
      <c r="I9" s="35" t="str">
        <f t="shared" si="2"/>
        <v>NA</v>
      </c>
    </row>
    <row r="10" spans="1:9" s="5" customFormat="1" ht="24.95" customHeight="1" x14ac:dyDescent="0.2">
      <c r="A10" s="10" t="s">
        <v>12</v>
      </c>
      <c r="B10" s="11">
        <f t="shared" ref="B10:F10" si="3">SUM(B8:B9)</f>
        <v>0</v>
      </c>
      <c r="C10" s="11">
        <f t="shared" si="3"/>
        <v>0</v>
      </c>
      <c r="D10" s="11">
        <f t="shared" si="3"/>
        <v>0</v>
      </c>
      <c r="E10" s="11">
        <f t="shared" si="3"/>
        <v>0</v>
      </c>
      <c r="F10" s="11">
        <f t="shared" si="3"/>
        <v>0</v>
      </c>
      <c r="G10" s="11">
        <f t="shared" si="0"/>
        <v>0</v>
      </c>
      <c r="H10" s="11">
        <f t="shared" si="1"/>
        <v>0</v>
      </c>
      <c r="I10" s="36" t="str">
        <f t="shared" si="2"/>
        <v>NA</v>
      </c>
    </row>
    <row r="11" spans="1:9" s="5" customFormat="1" x14ac:dyDescent="0.2">
      <c r="A11" s="27" t="s">
        <v>25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f t="shared" si="0"/>
        <v>0</v>
      </c>
      <c r="H11" s="13">
        <f t="shared" si="1"/>
        <v>0</v>
      </c>
      <c r="I11" s="37" t="str">
        <f t="shared" si="2"/>
        <v>NA</v>
      </c>
    </row>
    <row r="12" spans="1:9" s="5" customFormat="1" x14ac:dyDescent="0.2">
      <c r="A12" s="28" t="s">
        <v>24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" si="4">SUM(E12:F12)</f>
        <v>0</v>
      </c>
      <c r="H12" s="9">
        <f t="shared" ref="H12" si="5">C12-G12</f>
        <v>0</v>
      </c>
      <c r="I12" s="38" t="str">
        <f t="shared" ref="I12" si="6">IF(C12=0,"NA",H12/C12)</f>
        <v>NA</v>
      </c>
    </row>
    <row r="13" spans="1:9" s="5" customFormat="1" ht="24.95" customHeight="1" x14ac:dyDescent="0.2">
      <c r="A13" s="10" t="s">
        <v>26</v>
      </c>
      <c r="B13" s="11">
        <f t="shared" ref="B13:F13" si="7">SUM(B12:B12)</f>
        <v>0</v>
      </c>
      <c r="C13" s="11">
        <f t="shared" si="7"/>
        <v>0</v>
      </c>
      <c r="D13" s="11">
        <f t="shared" si="7"/>
        <v>0</v>
      </c>
      <c r="E13" s="11">
        <f t="shared" si="7"/>
        <v>0</v>
      </c>
      <c r="F13" s="11">
        <f t="shared" si="7"/>
        <v>0</v>
      </c>
      <c r="G13" s="11">
        <f t="shared" ref="G13" si="8">SUM(E13:F13)</f>
        <v>0</v>
      </c>
      <c r="H13" s="11">
        <f t="shared" ref="H13" si="9">C13-G13</f>
        <v>0</v>
      </c>
      <c r="I13" s="36" t="str">
        <f t="shared" ref="I13" si="10">IF(C13=0,"NA",H13/C13)</f>
        <v>NA</v>
      </c>
    </row>
    <row r="14" spans="1:9" s="5" customFormat="1" x14ac:dyDescent="0.2">
      <c r="A14" s="12"/>
      <c r="B14" s="13"/>
      <c r="C14" s="13"/>
      <c r="D14" s="13"/>
      <c r="E14" s="13"/>
      <c r="F14" s="13"/>
      <c r="G14" s="13"/>
      <c r="H14" s="14"/>
      <c r="I14" s="15"/>
    </row>
    <row r="15" spans="1:9" s="5" customFormat="1" x14ac:dyDescent="0.2">
      <c r="A15" s="6" t="s">
        <v>27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0</v>
      </c>
      <c r="F15" s="7"/>
      <c r="G15" s="7">
        <f>G10-G13</f>
        <v>0</v>
      </c>
      <c r="H15" s="7">
        <f>H10-H13</f>
        <v>0</v>
      </c>
      <c r="I15" s="16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7"/>
    </row>
    <row r="17" spans="1:10" s="5" customFormat="1" ht="24.95" customHeight="1" x14ac:dyDescent="0.2">
      <c r="A17" s="18" t="s">
        <v>67</v>
      </c>
      <c r="B17" s="20"/>
      <c r="C17" s="20"/>
      <c r="D17" s="20"/>
      <c r="E17" s="20">
        <v>47604.51</v>
      </c>
      <c r="F17" s="20"/>
      <c r="G17" s="20">
        <f>E17</f>
        <v>47604.51</v>
      </c>
      <c r="H17" s="19"/>
      <c r="I17" s="21"/>
    </row>
    <row r="18" spans="1:10" s="5" customFormat="1" ht="24.95" customHeight="1" thickBot="1" x14ac:dyDescent="0.25">
      <c r="A18" s="22" t="s">
        <v>28</v>
      </c>
      <c r="B18" s="24"/>
      <c r="C18" s="24"/>
      <c r="D18" s="24"/>
      <c r="E18" s="24">
        <f>SUM(E15:E17)</f>
        <v>47604.51</v>
      </c>
      <c r="F18" s="24"/>
      <c r="G18" s="24">
        <f>SUM(G15:G17)</f>
        <v>47604.51</v>
      </c>
      <c r="H18" s="23"/>
      <c r="I18" s="25"/>
    </row>
    <row r="19" spans="1:10" s="5" customFormat="1" x14ac:dyDescent="0.2">
      <c r="B19" s="33"/>
      <c r="C19" s="33"/>
      <c r="D19" s="33"/>
      <c r="E19" s="33"/>
      <c r="F19" s="33"/>
      <c r="G19" s="33"/>
    </row>
    <row r="20" spans="1:10" s="5" customFormat="1" x14ac:dyDescent="0.2">
      <c r="A20" s="31"/>
      <c r="B20" s="33"/>
      <c r="C20" s="33"/>
      <c r="D20" s="33"/>
      <c r="E20" s="33"/>
      <c r="F20" s="33"/>
      <c r="G20" s="33"/>
    </row>
    <row r="21" spans="1:10" s="5" customFormat="1" x14ac:dyDescent="0.2">
      <c r="B21" s="33"/>
      <c r="C21" s="33"/>
      <c r="D21" s="33"/>
      <c r="E21" s="33"/>
      <c r="F21" s="33"/>
      <c r="G21" s="33"/>
      <c r="H21" s="33"/>
      <c r="I21" s="33"/>
    </row>
    <row r="22" spans="1:10" x14ac:dyDescent="0.25">
      <c r="H22" s="30"/>
      <c r="I22" s="30"/>
    </row>
    <row r="24" spans="1:10" x14ac:dyDescent="0.25">
      <c r="H24" s="30"/>
      <c r="I24" s="30"/>
      <c r="J24" s="30"/>
    </row>
    <row r="26" spans="1:10" x14ac:dyDescent="0.25">
      <c r="H26" s="30"/>
      <c r="I26" s="30"/>
    </row>
    <row r="27" spans="1:10" x14ac:dyDescent="0.25">
      <c r="H27" s="30"/>
      <c r="I27" s="30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workbookViewId="0">
      <selection activeCell="B22" sqref="B22:I22"/>
    </sheetView>
  </sheetViews>
  <sheetFormatPr defaultRowHeight="15" x14ac:dyDescent="0.25"/>
  <cols>
    <col min="1" max="1" width="52.28515625" style="1" bestFit="1" customWidth="1"/>
    <col min="2" max="3" width="15.140625" style="30" bestFit="1" customWidth="1"/>
    <col min="4" max="4" width="13.42578125" style="30" bestFit="1" customWidth="1"/>
    <col min="5" max="5" width="14.5703125" style="30" bestFit="1" customWidth="1"/>
    <col min="6" max="6" width="17.5703125" style="30" customWidth="1"/>
    <col min="7" max="7" width="14.5703125" style="30" bestFit="1" customWidth="1"/>
    <col min="8" max="8" width="14.28515625" style="30" bestFit="1" customWidth="1"/>
    <col min="9" max="9" width="14.85546875" style="1" customWidth="1"/>
    <col min="10" max="10" width="3.5703125" style="48" customWidth="1"/>
    <col min="11" max="11" width="57.28515625" style="1" bestFit="1" customWidth="1"/>
    <col min="12" max="13" width="14.5703125" style="137" bestFit="1" customWidth="1"/>
    <col min="14" max="14" width="12.85546875" style="137" bestFit="1" customWidth="1"/>
    <col min="15" max="16" width="13.5703125" style="137" bestFit="1" customWidth="1"/>
    <col min="17" max="17" width="10.28515625" style="1" customWidth="1"/>
    <col min="18" max="18" width="9.7109375" style="1" bestFit="1" customWidth="1"/>
    <col min="19" max="16384" width="9.140625" style="1"/>
  </cols>
  <sheetData>
    <row r="1" spans="1:1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40"/>
    </row>
    <row r="2" spans="1:19" ht="18.75" x14ac:dyDescent="0.3">
      <c r="A2" s="152" t="s">
        <v>78</v>
      </c>
      <c r="B2" s="152"/>
      <c r="C2" s="152"/>
      <c r="D2" s="152"/>
      <c r="E2" s="152"/>
      <c r="F2" s="152"/>
      <c r="G2" s="152"/>
      <c r="H2" s="152"/>
      <c r="I2" s="152"/>
      <c r="J2" s="41"/>
    </row>
    <row r="3" spans="1:1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J3" s="40"/>
    </row>
    <row r="4" spans="1:19" x14ac:dyDescent="0.25">
      <c r="A4" s="153">
        <v>45199</v>
      </c>
      <c r="B4" s="153"/>
      <c r="C4" s="153"/>
      <c r="D4" s="153"/>
      <c r="E4" s="153"/>
      <c r="F4" s="153"/>
      <c r="G4" s="153"/>
      <c r="H4" s="153"/>
      <c r="I4" s="153"/>
      <c r="J4" s="42"/>
    </row>
    <row r="5" spans="1:1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40"/>
    </row>
    <row r="6" spans="1:1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  <c r="J6" s="40"/>
    </row>
    <row r="7" spans="1:19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31</v>
      </c>
      <c r="J7" s="43"/>
      <c r="L7" s="138"/>
      <c r="M7" s="138"/>
      <c r="N7" s="138"/>
      <c r="O7" s="138"/>
      <c r="P7" s="138"/>
    </row>
    <row r="8" spans="1:19" s="5" customFormat="1" x14ac:dyDescent="0.2">
      <c r="A8" s="6" t="s">
        <v>8</v>
      </c>
      <c r="B8" s="7">
        <v>429011000</v>
      </c>
      <c r="C8" s="7">
        <v>429086573.36000001</v>
      </c>
      <c r="D8" s="7">
        <v>12408232.27</v>
      </c>
      <c r="E8" s="7">
        <v>24778702.539999999</v>
      </c>
      <c r="F8" s="7">
        <v>0</v>
      </c>
      <c r="G8" s="7">
        <f t="shared" ref="G8:G21" si="0">SUM(E8:F8)</f>
        <v>24778702.539999999</v>
      </c>
      <c r="H8" s="7">
        <f t="shared" ref="H8:H11" si="1">C8-G8</f>
        <v>404307870.81999999</v>
      </c>
      <c r="I8" s="35">
        <f>IF(C8=0,"NA",H8/C8)</f>
        <v>0.94225244023375465</v>
      </c>
      <c r="J8" s="44"/>
      <c r="K8"/>
      <c r="L8" s="139"/>
      <c r="M8" s="139"/>
      <c r="N8" s="139"/>
      <c r="O8" s="139"/>
      <c r="P8" s="139"/>
    </row>
    <row r="9" spans="1:19" s="5" customFormat="1" x14ac:dyDescent="0.2">
      <c r="A9" s="6" t="s">
        <v>9</v>
      </c>
      <c r="B9" s="7">
        <v>2800000</v>
      </c>
      <c r="C9" s="7">
        <v>2800000</v>
      </c>
      <c r="D9" s="7">
        <v>2196003.38</v>
      </c>
      <c r="E9" s="7">
        <v>6496649.2599999998</v>
      </c>
      <c r="F9" s="7">
        <v>0</v>
      </c>
      <c r="G9" s="7">
        <f t="shared" si="0"/>
        <v>6496649.2599999998</v>
      </c>
      <c r="H9" s="7">
        <f t="shared" si="1"/>
        <v>-3696649.26</v>
      </c>
      <c r="I9" s="35">
        <f t="shared" ref="I9:I22" si="2">IF(C9=0,"NA",H9/C9)</f>
        <v>-1.3202318785714284</v>
      </c>
      <c r="J9" s="44"/>
      <c r="K9"/>
      <c r="L9" s="139"/>
      <c r="M9" s="139"/>
      <c r="N9" s="139"/>
      <c r="O9" s="139"/>
      <c r="P9" s="139"/>
    </row>
    <row r="10" spans="1:19" s="5" customFormat="1" x14ac:dyDescent="0.2">
      <c r="A10" s="6" t="s">
        <v>10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f t="shared" si="0"/>
        <v>0</v>
      </c>
      <c r="H10" s="7">
        <f t="shared" si="1"/>
        <v>0</v>
      </c>
      <c r="I10" s="35" t="str">
        <f t="shared" si="2"/>
        <v>NA</v>
      </c>
      <c r="J10" s="44"/>
      <c r="K10"/>
      <c r="L10" s="139"/>
      <c r="M10" s="139"/>
      <c r="N10" s="139"/>
      <c r="O10" s="139"/>
      <c r="P10" s="139"/>
    </row>
    <row r="11" spans="1:19" s="5" customFormat="1" x14ac:dyDescent="0.2">
      <c r="A11" s="6" t="s">
        <v>11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 t="shared" si="0"/>
        <v>0</v>
      </c>
      <c r="H11" s="7">
        <f t="shared" si="1"/>
        <v>0</v>
      </c>
      <c r="I11" s="35" t="str">
        <f t="shared" si="2"/>
        <v>NA</v>
      </c>
      <c r="J11" s="44"/>
      <c r="K11"/>
      <c r="L11" s="139"/>
      <c r="M11" s="139"/>
      <c r="N11" s="139"/>
      <c r="O11" s="139"/>
      <c r="P11" s="139"/>
    </row>
    <row r="12" spans="1:19" s="5" customFormat="1" ht="24.95" customHeight="1" x14ac:dyDescent="0.25">
      <c r="A12" s="10" t="s">
        <v>12</v>
      </c>
      <c r="B12" s="11">
        <f>SUM(B8:B11)</f>
        <v>431811000</v>
      </c>
      <c r="C12" s="11">
        <f t="shared" ref="C12:F12" si="3">SUM(C8:C11)</f>
        <v>431886573.36000001</v>
      </c>
      <c r="D12" s="11">
        <f t="shared" si="3"/>
        <v>14604235.649999999</v>
      </c>
      <c r="E12" s="11">
        <f t="shared" si="3"/>
        <v>31275351.799999997</v>
      </c>
      <c r="F12" s="11">
        <f t="shared" si="3"/>
        <v>0</v>
      </c>
      <c r="G12" s="11">
        <f t="shared" ref="G12:H12" si="4">SUM(G8:G11)</f>
        <v>31275351.799999997</v>
      </c>
      <c r="H12" s="11">
        <f t="shared" si="4"/>
        <v>400611221.56</v>
      </c>
      <c r="I12" s="36">
        <f t="shared" si="2"/>
        <v>0.92758433873810109</v>
      </c>
      <c r="L12" s="1"/>
      <c r="M12" s="1"/>
      <c r="N12" s="1"/>
      <c r="O12" s="1"/>
      <c r="P12" s="1"/>
      <c r="Q12" s="1"/>
      <c r="R12" s="1"/>
      <c r="S12" s="1"/>
    </row>
    <row r="13" spans="1:19" s="5" customFormat="1" x14ac:dyDescent="0.2">
      <c r="A13" s="12" t="s">
        <v>13</v>
      </c>
      <c r="B13" s="13">
        <v>5500</v>
      </c>
      <c r="C13" s="13">
        <v>5500</v>
      </c>
      <c r="D13" s="13">
        <v>135652.41</v>
      </c>
      <c r="E13" s="13">
        <v>381621.4</v>
      </c>
      <c r="F13" s="13">
        <v>1086456.6000000001</v>
      </c>
      <c r="G13" s="7">
        <f t="shared" si="0"/>
        <v>1468078</v>
      </c>
      <c r="H13" s="7">
        <f t="shared" ref="H13:H21" si="5">C13-G13</f>
        <v>-1462578</v>
      </c>
      <c r="I13" s="39">
        <f t="shared" si="2"/>
        <v>-265.92327272727272</v>
      </c>
      <c r="J13" s="44"/>
    </row>
    <row r="14" spans="1:19" s="5" customFormat="1" x14ac:dyDescent="0.25">
      <c r="A14" s="6" t="s">
        <v>14</v>
      </c>
      <c r="B14" s="7">
        <v>5500</v>
      </c>
      <c r="C14" s="7">
        <v>81073.36</v>
      </c>
      <c r="D14" s="7">
        <v>608.78</v>
      </c>
      <c r="E14" s="7">
        <v>57712.86</v>
      </c>
      <c r="F14" s="7">
        <v>32.9</v>
      </c>
      <c r="G14" s="7">
        <f t="shared" si="0"/>
        <v>57745.760000000002</v>
      </c>
      <c r="H14" s="7">
        <f t="shared" si="5"/>
        <v>23327.599999999999</v>
      </c>
      <c r="I14" s="39">
        <f t="shared" ref="I14" si="6">IF(C14=0,"NA",H14/C14)</f>
        <v>0.28773446666081187</v>
      </c>
      <c r="J14" s="44"/>
      <c r="K14" s="1"/>
      <c r="L14" s="1"/>
      <c r="M14" s="1"/>
    </row>
    <row r="15" spans="1:19" s="5" customFormat="1" x14ac:dyDescent="0.25">
      <c r="A15" s="6" t="s">
        <v>15</v>
      </c>
      <c r="B15" s="7">
        <v>0</v>
      </c>
      <c r="C15" s="7">
        <v>17000000</v>
      </c>
      <c r="D15" s="7">
        <v>0</v>
      </c>
      <c r="E15" s="7">
        <v>0</v>
      </c>
      <c r="F15" s="7">
        <v>7066692</v>
      </c>
      <c r="G15" s="7">
        <f t="shared" ref="G15" si="7">SUM(E15:F15)</f>
        <v>7066692</v>
      </c>
      <c r="H15" s="7">
        <f t="shared" ref="H15" si="8">C15-G15</f>
        <v>9933308</v>
      </c>
      <c r="I15" s="39">
        <f t="shared" ref="I15" si="9">IF(C15=0,"NA",H15/C15)</f>
        <v>0.58431223529411769</v>
      </c>
      <c r="J15" s="44"/>
      <c r="K15" s="1"/>
      <c r="L15" s="1"/>
      <c r="M15" s="1"/>
      <c r="N15" s="1"/>
    </row>
    <row r="16" spans="1:19" s="5" customFormat="1" x14ac:dyDescent="0.25">
      <c r="A16" s="6" t="s">
        <v>70</v>
      </c>
      <c r="B16" s="7">
        <v>10050882.43</v>
      </c>
      <c r="C16" s="7">
        <v>10998913.92</v>
      </c>
      <c r="D16" s="7">
        <v>118312.84</v>
      </c>
      <c r="E16" s="7">
        <v>345048.7</v>
      </c>
      <c r="F16" s="7">
        <v>82281.799999999988</v>
      </c>
      <c r="G16" s="7">
        <f t="shared" si="0"/>
        <v>427330.5</v>
      </c>
      <c r="H16" s="7">
        <f t="shared" si="5"/>
        <v>10571583.42</v>
      </c>
      <c r="I16" s="39">
        <f t="shared" ref="I16" si="10">IF(C16=0,"NA",H16/C16)</f>
        <v>0.96114793668646148</v>
      </c>
      <c r="J16" s="44"/>
      <c r="K16" s="1"/>
      <c r="L16" s="1"/>
      <c r="M16" s="1"/>
      <c r="N16" s="1"/>
    </row>
    <row r="17" spans="1:16" s="5" customFormat="1" x14ac:dyDescent="0.25">
      <c r="A17" s="6" t="s">
        <v>21</v>
      </c>
      <c r="B17" s="7">
        <v>1008000</v>
      </c>
      <c r="C17" s="7">
        <v>731685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5"/>
        <v>731685</v>
      </c>
      <c r="I17" s="39">
        <f t="shared" ref="I17" si="11">IF(C17=0,"NA",H17/C17)</f>
        <v>1</v>
      </c>
      <c r="J17" s="44"/>
      <c r="K17" s="1"/>
      <c r="L17" s="1"/>
      <c r="M17" s="1"/>
    </row>
    <row r="18" spans="1:16" s="5" customFormat="1" x14ac:dyDescent="0.25">
      <c r="A18" s="6" t="s">
        <v>22</v>
      </c>
      <c r="B18" s="7">
        <v>18000000</v>
      </c>
      <c r="C18" s="7">
        <v>18000000</v>
      </c>
      <c r="D18" s="7">
        <v>253094.53</v>
      </c>
      <c r="E18" s="7">
        <v>506189.06</v>
      </c>
      <c r="F18" s="7">
        <v>12654726.34</v>
      </c>
      <c r="G18" s="7">
        <f t="shared" si="0"/>
        <v>13160915.4</v>
      </c>
      <c r="H18" s="7">
        <f t="shared" si="5"/>
        <v>4839084.5999999996</v>
      </c>
      <c r="I18" s="39"/>
      <c r="J18" s="44"/>
      <c r="K18" s="1"/>
      <c r="L18" s="1"/>
      <c r="M18" s="1"/>
      <c r="N18" s="1"/>
    </row>
    <row r="19" spans="1:16" s="5" customFormat="1" x14ac:dyDescent="0.25">
      <c r="A19" s="6" t="s">
        <v>73</v>
      </c>
      <c r="B19" s="7">
        <v>729323049.63999987</v>
      </c>
      <c r="C19" s="7">
        <v>454208646.29999989</v>
      </c>
      <c r="D19" s="7">
        <v>5537965.8500000006</v>
      </c>
      <c r="E19" s="7">
        <v>8772323.6600000001</v>
      </c>
      <c r="F19" s="7">
        <v>67373772.390000015</v>
      </c>
      <c r="G19" s="7">
        <f t="shared" si="0"/>
        <v>76146096.050000012</v>
      </c>
      <c r="H19" s="7">
        <f t="shared" si="5"/>
        <v>378062550.24999988</v>
      </c>
      <c r="I19" s="39">
        <f t="shared" si="2"/>
        <v>0.83235436694063647</v>
      </c>
      <c r="J19" s="44"/>
      <c r="K19" s="137"/>
      <c r="L19" s="1"/>
      <c r="M19" s="1"/>
      <c r="N19" s="1"/>
      <c r="O19" s="1"/>
    </row>
    <row r="20" spans="1:16" s="5" customFormat="1" x14ac:dyDescent="0.25">
      <c r="A20" s="6" t="s">
        <v>25</v>
      </c>
      <c r="B20" s="7">
        <v>83403442</v>
      </c>
      <c r="C20" s="7">
        <v>83403442</v>
      </c>
      <c r="D20" s="7">
        <v>0</v>
      </c>
      <c r="E20" s="7">
        <v>0</v>
      </c>
      <c r="F20" s="7">
        <v>0</v>
      </c>
      <c r="G20" s="7">
        <f t="shared" si="0"/>
        <v>0</v>
      </c>
      <c r="H20" s="7">
        <f t="shared" si="5"/>
        <v>83403442</v>
      </c>
      <c r="I20" s="39">
        <f t="shared" si="2"/>
        <v>1</v>
      </c>
      <c r="J20" s="45"/>
      <c r="K20" s="1"/>
      <c r="L20" s="1"/>
      <c r="M20" s="1"/>
      <c r="N20" s="1"/>
      <c r="O20" s="1"/>
    </row>
    <row r="21" spans="1:16" s="5" customFormat="1" ht="24.95" customHeight="1" x14ac:dyDescent="0.25">
      <c r="A21" s="6" t="s">
        <v>24</v>
      </c>
      <c r="B21" s="7">
        <v>5572080</v>
      </c>
      <c r="C21" s="7">
        <v>5572080</v>
      </c>
      <c r="D21" s="7">
        <v>0</v>
      </c>
      <c r="E21" s="7">
        <v>0</v>
      </c>
      <c r="F21" s="7">
        <v>0</v>
      </c>
      <c r="G21" s="7">
        <f t="shared" si="0"/>
        <v>0</v>
      </c>
      <c r="H21" s="7">
        <f t="shared" si="5"/>
        <v>5572080</v>
      </c>
      <c r="I21" s="39">
        <f t="shared" si="2"/>
        <v>1</v>
      </c>
      <c r="J21" s="44"/>
      <c r="K21" s="1"/>
      <c r="L21" s="1"/>
      <c r="M21" s="1"/>
      <c r="N21" s="1"/>
      <c r="O21" s="1"/>
    </row>
    <row r="22" spans="1:16" s="5" customFormat="1" ht="24.95" customHeight="1" x14ac:dyDescent="0.25">
      <c r="A22" s="10" t="s">
        <v>26</v>
      </c>
      <c r="B22" s="11">
        <f t="shared" ref="B22:H22" si="12">SUM(B13:B21)</f>
        <v>847368454.06999981</v>
      </c>
      <c r="C22" s="11">
        <f t="shared" si="12"/>
        <v>590001340.57999992</v>
      </c>
      <c r="D22" s="11">
        <f t="shared" si="12"/>
        <v>6045634.4100000001</v>
      </c>
      <c r="E22" s="11">
        <f t="shared" si="12"/>
        <v>10062895.68</v>
      </c>
      <c r="F22" s="11">
        <f t="shared" si="12"/>
        <v>88263962.030000016</v>
      </c>
      <c r="G22" s="11">
        <f t="shared" si="12"/>
        <v>98326857.710000008</v>
      </c>
      <c r="H22" s="11">
        <f t="shared" si="12"/>
        <v>491674482.86999989</v>
      </c>
      <c r="I22" s="36">
        <f t="shared" si="2"/>
        <v>0.83334468763521796</v>
      </c>
      <c r="K22" s="1"/>
      <c r="L22" s="1"/>
      <c r="M22" s="1"/>
      <c r="N22" s="1"/>
      <c r="O22" s="1"/>
    </row>
    <row r="23" spans="1:16" s="5" customFormat="1" ht="24.95" customHeight="1" x14ac:dyDescent="0.25">
      <c r="A23" s="12"/>
      <c r="B23" s="13"/>
      <c r="C23" s="13"/>
      <c r="D23" s="13"/>
      <c r="E23" s="13"/>
      <c r="F23" s="13"/>
      <c r="G23" s="13"/>
      <c r="H23" s="13"/>
      <c r="I23" s="15"/>
      <c r="J23" s="46"/>
      <c r="K23" s="1"/>
      <c r="L23" s="1"/>
      <c r="M23" s="1"/>
      <c r="N23" s="1"/>
      <c r="O23" s="1"/>
    </row>
    <row r="24" spans="1:16" s="5" customFormat="1" x14ac:dyDescent="0.25">
      <c r="A24" s="6" t="s">
        <v>27</v>
      </c>
      <c r="B24" s="7">
        <f>B12-B22</f>
        <v>-415557454.06999981</v>
      </c>
      <c r="C24" s="7">
        <f>C12-C22</f>
        <v>-158114767.21999991</v>
      </c>
      <c r="D24" s="7">
        <f>D12-D22</f>
        <v>8558601.2399999984</v>
      </c>
      <c r="E24" s="7">
        <f>E12-E22</f>
        <v>21212456.119999997</v>
      </c>
      <c r="F24" s="7"/>
      <c r="G24" s="7">
        <f>G12-G22</f>
        <v>-67051505.910000011</v>
      </c>
      <c r="H24" s="7">
        <f>H12-H22</f>
        <v>-91063261.309999883</v>
      </c>
      <c r="I24" s="16"/>
      <c r="J24" s="47"/>
      <c r="K24" s="1"/>
      <c r="L24" s="1"/>
      <c r="M24" s="1"/>
      <c r="N24" s="1"/>
      <c r="O24" s="1"/>
    </row>
    <row r="25" spans="1:16" x14ac:dyDescent="0.25">
      <c r="A25" s="8"/>
      <c r="B25" s="9"/>
      <c r="C25" s="9"/>
      <c r="D25" s="9"/>
      <c r="E25" s="9"/>
      <c r="F25" s="9"/>
      <c r="G25" s="9"/>
      <c r="H25" s="9"/>
      <c r="I25" s="17"/>
      <c r="J25" s="47"/>
      <c r="L25" s="1"/>
      <c r="M25" s="1"/>
      <c r="N25" s="1"/>
      <c r="O25" s="1"/>
      <c r="P25" s="1"/>
    </row>
    <row r="26" spans="1:16" x14ac:dyDescent="0.25">
      <c r="A26" s="18" t="s">
        <v>67</v>
      </c>
      <c r="B26" s="20"/>
      <c r="C26" s="20"/>
      <c r="D26" s="20"/>
      <c r="E26" s="20">
        <v>509808260</v>
      </c>
      <c r="F26" s="20"/>
      <c r="G26" s="20">
        <f>E26</f>
        <v>509808260</v>
      </c>
      <c r="H26" s="20"/>
      <c r="I26" s="21"/>
      <c r="J26" s="46"/>
      <c r="L26" s="1"/>
      <c r="M26" s="1"/>
      <c r="N26" s="1"/>
      <c r="O26" s="1"/>
      <c r="P26" s="1"/>
    </row>
    <row r="27" spans="1:16" ht="15.75" thickBot="1" x14ac:dyDescent="0.3">
      <c r="A27" s="22" t="s">
        <v>28</v>
      </c>
      <c r="B27" s="24"/>
      <c r="C27" s="24"/>
      <c r="D27" s="24"/>
      <c r="E27" s="24">
        <f>SUM(E24:E26)</f>
        <v>531020716.12</v>
      </c>
      <c r="F27" s="24"/>
      <c r="G27" s="24">
        <f>SUM(G24:G26)</f>
        <v>442756754.08999997</v>
      </c>
      <c r="H27" s="24"/>
      <c r="I27" s="25"/>
      <c r="L27" s="1"/>
      <c r="M27" s="1"/>
      <c r="N27" s="1"/>
      <c r="O27" s="1"/>
      <c r="P27" s="1"/>
    </row>
    <row r="28" spans="1:16" x14ac:dyDescent="0.25">
      <c r="A28" s="5"/>
      <c r="B28" s="33"/>
      <c r="C28" s="33"/>
      <c r="D28" s="33"/>
      <c r="E28" s="33"/>
      <c r="F28" s="33"/>
      <c r="G28" s="33"/>
      <c r="H28" s="33"/>
      <c r="I28" s="5"/>
    </row>
    <row r="29" spans="1:16" x14ac:dyDescent="0.25">
      <c r="G29" s="1"/>
      <c r="H29" s="48"/>
      <c r="J29" s="137"/>
    </row>
    <row r="30" spans="1:16" x14ac:dyDescent="0.25">
      <c r="B30" s="150"/>
      <c r="C30" s="137"/>
      <c r="D30" s="137"/>
      <c r="E30" s="137"/>
      <c r="F30" s="137"/>
      <c r="G30" s="137"/>
      <c r="H30" s="137"/>
      <c r="J30" s="137"/>
    </row>
    <row r="31" spans="1:16" x14ac:dyDescent="0.25">
      <c r="B31" s="137"/>
      <c r="C31" s="137"/>
      <c r="D31" s="150"/>
      <c r="E31" s="137"/>
      <c r="F31" s="137"/>
      <c r="G31" s="137"/>
      <c r="H31" s="137"/>
      <c r="J31" s="137"/>
    </row>
    <row r="32" spans="1:16" x14ac:dyDescent="0.25">
      <c r="B32" s="137"/>
      <c r="C32" s="137"/>
      <c r="D32" s="137"/>
      <c r="E32" s="137"/>
      <c r="F32" s="137"/>
      <c r="G32" s="137"/>
      <c r="H32" s="137"/>
      <c r="I32" s="137"/>
      <c r="J32" s="137"/>
    </row>
    <row r="33" spans="2:10" x14ac:dyDescent="0.25">
      <c r="B33" s="137"/>
      <c r="C33" s="137"/>
      <c r="D33" s="137"/>
      <c r="E33" s="137"/>
      <c r="F33" s="137"/>
      <c r="G33" s="137"/>
      <c r="H33" s="137"/>
      <c r="I33" s="137"/>
      <c r="J33" s="137"/>
    </row>
    <row r="34" spans="2:10" x14ac:dyDescent="0.25">
      <c r="B34" s="137"/>
      <c r="C34" s="137"/>
      <c r="D34" s="150"/>
      <c r="E34" s="137"/>
      <c r="F34" s="137"/>
      <c r="G34" s="137"/>
      <c r="H34" s="137"/>
      <c r="J34" s="137"/>
    </row>
    <row r="35" spans="2:10" x14ac:dyDescent="0.25">
      <c r="B35" s="137"/>
      <c r="C35" s="137"/>
      <c r="D35" s="137"/>
      <c r="E35" s="137"/>
      <c r="F35" s="137"/>
      <c r="J35" s="137"/>
    </row>
    <row r="36" spans="2:10" x14ac:dyDescent="0.25">
      <c r="B36" s="137"/>
      <c r="C36" s="137"/>
      <c r="D36" s="137"/>
      <c r="E36" s="137"/>
      <c r="F36" s="137"/>
      <c r="J36" s="137"/>
    </row>
    <row r="37" spans="2:10" x14ac:dyDescent="0.25">
      <c r="B37" s="137"/>
      <c r="C37" s="137"/>
      <c r="D37" s="137"/>
      <c r="E37" s="137"/>
      <c r="F37" s="137"/>
      <c r="J37" s="137"/>
    </row>
    <row r="38" spans="2:10" x14ac:dyDescent="0.25">
      <c r="B38" s="137"/>
      <c r="C38" s="137"/>
      <c r="D38" s="137"/>
      <c r="E38" s="137"/>
      <c r="F38" s="137"/>
      <c r="J38" s="137"/>
    </row>
    <row r="39" spans="2:10" x14ac:dyDescent="0.25">
      <c r="B39" s="137"/>
      <c r="C39" s="137"/>
      <c r="D39" s="137"/>
      <c r="E39" s="137"/>
      <c r="F39" s="137"/>
      <c r="J39" s="137"/>
    </row>
    <row r="40" spans="2:10" x14ac:dyDescent="0.25">
      <c r="B40" s="137"/>
      <c r="C40" s="137"/>
      <c r="D40" s="137"/>
      <c r="E40" s="137"/>
      <c r="F40" s="137"/>
      <c r="J40" s="137"/>
    </row>
    <row r="41" spans="2:10" x14ac:dyDescent="0.25">
      <c r="I41" s="30"/>
    </row>
    <row r="42" spans="2:10" x14ac:dyDescent="0.25">
      <c r="I42" s="30"/>
    </row>
    <row r="43" spans="2:10" x14ac:dyDescent="0.25">
      <c r="I43" s="30"/>
    </row>
    <row r="44" spans="2:10" x14ac:dyDescent="0.25">
      <c r="I44" s="30"/>
    </row>
    <row r="45" spans="2:10" x14ac:dyDescent="0.25">
      <c r="I45" s="30"/>
    </row>
    <row r="46" spans="2:10" x14ac:dyDescent="0.25">
      <c r="I46" s="30"/>
    </row>
    <row r="47" spans="2:10" x14ac:dyDescent="0.25">
      <c r="I47" s="30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40"/>
  <sheetViews>
    <sheetView workbookViewId="0">
      <selection activeCell="B18" sqref="B18:I18"/>
    </sheetView>
  </sheetViews>
  <sheetFormatPr defaultRowHeight="15" x14ac:dyDescent="0.25"/>
  <cols>
    <col min="1" max="1" width="49.7109375" style="1" bestFit="1" customWidth="1"/>
    <col min="2" max="3" width="15" style="30" bestFit="1" customWidth="1"/>
    <col min="4" max="5" width="13.28515625" style="30" bestFit="1" customWidth="1"/>
    <col min="6" max="6" width="16.85546875" style="30" customWidth="1"/>
    <col min="7" max="7" width="13.5703125" style="30" bestFit="1" customWidth="1"/>
    <col min="8" max="8" width="13.28515625" style="30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30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16384" width="9.140625" style="1"/>
  </cols>
  <sheetData>
    <row r="1" spans="1:20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20" ht="18.75" x14ac:dyDescent="0.3">
      <c r="A2" s="152" t="s">
        <v>77</v>
      </c>
      <c r="B2" s="152"/>
      <c r="C2" s="152"/>
      <c r="D2" s="152"/>
      <c r="E2" s="152"/>
      <c r="F2" s="152"/>
      <c r="G2" s="152"/>
      <c r="H2" s="152"/>
      <c r="I2" s="152"/>
    </row>
    <row r="3" spans="1:20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20" x14ac:dyDescent="0.25">
      <c r="A4" s="153">
        <v>45199</v>
      </c>
      <c r="B4" s="153"/>
      <c r="C4" s="153"/>
      <c r="D4" s="153"/>
      <c r="E4" s="153"/>
      <c r="F4" s="153"/>
      <c r="G4" s="153"/>
      <c r="H4" s="153"/>
      <c r="I4" s="153"/>
    </row>
    <row r="5" spans="1:20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20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20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31</v>
      </c>
      <c r="M7" s="138"/>
      <c r="N7" s="138"/>
      <c r="O7" s="138"/>
      <c r="P7" s="138"/>
      <c r="Q7" s="138"/>
      <c r="R7" s="138"/>
    </row>
    <row r="8" spans="1:20" s="5" customFormat="1" x14ac:dyDescent="0.2">
      <c r="A8" s="6" t="s">
        <v>8</v>
      </c>
      <c r="B8" s="7">
        <v>61049795.369999997</v>
      </c>
      <c r="C8" s="7">
        <v>61049795.369999997</v>
      </c>
      <c r="D8" s="7">
        <v>382379.75</v>
      </c>
      <c r="E8" s="7">
        <v>724287.2</v>
      </c>
      <c r="F8" s="7">
        <v>0</v>
      </c>
      <c r="G8" s="7">
        <f t="shared" ref="G8:G17" si="0">SUM(E8:F8)</f>
        <v>724287.2</v>
      </c>
      <c r="H8" s="7">
        <f t="shared" ref="H8:H12" si="1">C8-G8</f>
        <v>60325508.169999994</v>
      </c>
      <c r="I8" s="39">
        <f>IF(C8=0,"NA",H8/C8)</f>
        <v>0.98813612403431705</v>
      </c>
      <c r="M8" s="138"/>
      <c r="N8" s="138"/>
      <c r="O8" s="138"/>
      <c r="P8" s="138"/>
      <c r="Q8" s="138"/>
      <c r="R8" s="138"/>
    </row>
    <row r="9" spans="1:20" s="5" customFormat="1" x14ac:dyDescent="0.2">
      <c r="A9" s="6" t="s">
        <v>9</v>
      </c>
      <c r="B9" s="7">
        <v>0</v>
      </c>
      <c r="C9" s="7">
        <v>0</v>
      </c>
      <c r="D9" s="7">
        <v>22651.41</v>
      </c>
      <c r="E9" s="7">
        <v>68204.81</v>
      </c>
      <c r="F9" s="7">
        <v>0</v>
      </c>
      <c r="G9" s="7">
        <f t="shared" si="0"/>
        <v>68204.81</v>
      </c>
      <c r="H9" s="7">
        <f t="shared" si="1"/>
        <v>-68204.81</v>
      </c>
      <c r="I9" s="39" t="str">
        <f t="shared" ref="I9:I18" si="2">IF(C9=0,"NA",H9/C9)</f>
        <v>NA</v>
      </c>
      <c r="M9" s="138"/>
      <c r="N9" s="138"/>
      <c r="O9" s="138"/>
      <c r="P9" s="138"/>
      <c r="Q9" s="138"/>
      <c r="R9" s="138"/>
    </row>
    <row r="10" spans="1:20" s="5" customFormat="1" x14ac:dyDescent="0.2">
      <c r="A10" s="6" t="s">
        <v>10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f t="shared" si="0"/>
        <v>0</v>
      </c>
      <c r="H10" s="7">
        <f t="shared" si="1"/>
        <v>0</v>
      </c>
      <c r="I10" s="39" t="str">
        <f t="shared" si="2"/>
        <v>NA</v>
      </c>
      <c r="M10" s="138"/>
      <c r="N10" s="138"/>
      <c r="O10" s="138"/>
      <c r="P10" s="138"/>
      <c r="Q10" s="138"/>
      <c r="R10" s="138"/>
    </row>
    <row r="11" spans="1:20" s="5" customFormat="1" x14ac:dyDescent="0.2">
      <c r="A11" s="6" t="s">
        <v>74</v>
      </c>
      <c r="B11" s="7">
        <v>11801978</v>
      </c>
      <c r="C11" s="7">
        <v>11801978</v>
      </c>
      <c r="D11" s="7">
        <v>0</v>
      </c>
      <c r="E11" s="7">
        <v>74549.78</v>
      </c>
      <c r="F11" s="7">
        <v>0</v>
      </c>
      <c r="G11" s="7">
        <f t="shared" si="0"/>
        <v>74549.78</v>
      </c>
      <c r="H11" s="7">
        <f t="shared" si="1"/>
        <v>11727428.220000001</v>
      </c>
      <c r="I11" s="39">
        <f t="shared" si="2"/>
        <v>0.9936832808873225</v>
      </c>
      <c r="M11" s="138"/>
      <c r="N11" s="138"/>
      <c r="O11" s="138"/>
      <c r="P11" s="138"/>
      <c r="Q11" s="138"/>
      <c r="R11" s="138"/>
    </row>
    <row r="12" spans="1:20" s="5" customFormat="1" x14ac:dyDescent="0.2">
      <c r="A12" s="8" t="s">
        <v>11</v>
      </c>
      <c r="B12" s="7">
        <v>2800000</v>
      </c>
      <c r="C12" s="7">
        <v>2800000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2800000</v>
      </c>
      <c r="I12" s="39">
        <f t="shared" si="2"/>
        <v>1</v>
      </c>
      <c r="M12" s="138"/>
      <c r="N12" s="138"/>
      <c r="O12" s="138"/>
      <c r="P12" s="138"/>
      <c r="Q12" s="138"/>
      <c r="R12" s="138"/>
    </row>
    <row r="13" spans="1:20" s="5" customFormat="1" ht="24.95" customHeight="1" x14ac:dyDescent="0.25">
      <c r="A13" s="10" t="s">
        <v>12</v>
      </c>
      <c r="B13" s="11">
        <f>SUM(B8:B12)</f>
        <v>75651773.370000005</v>
      </c>
      <c r="C13" s="11">
        <f t="shared" ref="C13:H13" si="3">SUM(C8:C12)</f>
        <v>75651773.370000005</v>
      </c>
      <c r="D13" s="11">
        <f t="shared" si="3"/>
        <v>405031.16</v>
      </c>
      <c r="E13" s="11">
        <f t="shared" si="3"/>
        <v>867041.79</v>
      </c>
      <c r="F13" s="11">
        <f t="shared" si="3"/>
        <v>0</v>
      </c>
      <c r="G13" s="11">
        <f t="shared" si="3"/>
        <v>867041.79</v>
      </c>
      <c r="H13" s="11">
        <f t="shared" si="3"/>
        <v>74784731.579999998</v>
      </c>
      <c r="I13" s="36">
        <f t="shared" si="2"/>
        <v>0.9885390420954252</v>
      </c>
      <c r="L13" s="1"/>
      <c r="M13" s="1"/>
      <c r="N13" s="1"/>
      <c r="O13" s="1"/>
      <c r="P13" s="1"/>
      <c r="Q13" s="1"/>
      <c r="R13" s="1"/>
      <c r="S13" s="1"/>
    </row>
    <row r="14" spans="1:20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39" t="str">
        <f t="shared" si="2"/>
        <v>NA</v>
      </c>
      <c r="M14" s="138"/>
      <c r="N14" s="138"/>
      <c r="O14" s="138"/>
      <c r="P14" s="138"/>
      <c r="Q14" s="138"/>
      <c r="R14" s="138"/>
    </row>
    <row r="15" spans="1:20" s="5" customFormat="1" x14ac:dyDescent="0.2">
      <c r="A15" s="6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39" t="str">
        <f t="shared" si="2"/>
        <v>NA</v>
      </c>
      <c r="M15" s="138"/>
      <c r="N15" s="138"/>
      <c r="O15" s="138"/>
      <c r="P15" s="138"/>
      <c r="Q15" s="138"/>
      <c r="R15" s="138"/>
    </row>
    <row r="16" spans="1:20" s="5" customFormat="1" x14ac:dyDescent="0.25">
      <c r="A16" s="6" t="s">
        <v>29</v>
      </c>
      <c r="B16" s="7">
        <v>75651773.570000023</v>
      </c>
      <c r="C16" s="7">
        <v>75651773.570000023</v>
      </c>
      <c r="D16" s="7">
        <v>4886735.9799999967</v>
      </c>
      <c r="E16" s="7">
        <v>7918788.4300000016</v>
      </c>
      <c r="F16" s="7">
        <v>11013277.380000001</v>
      </c>
      <c r="G16" s="7">
        <f t="shared" si="0"/>
        <v>18932065.810000002</v>
      </c>
      <c r="H16" s="7">
        <f t="shared" si="4"/>
        <v>56719707.76000002</v>
      </c>
      <c r="I16" s="39">
        <f t="shared" si="2"/>
        <v>0.74974723107473085</v>
      </c>
      <c r="L16" s="1"/>
      <c r="M16" s="1"/>
      <c r="N16" s="1"/>
      <c r="O16" s="1"/>
      <c r="P16" s="1"/>
      <c r="Q16" s="1"/>
      <c r="T16" s="1"/>
    </row>
    <row r="17" spans="1:16384" s="5" customFormat="1" x14ac:dyDescent="0.25">
      <c r="A17" s="6" t="s">
        <v>25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39" t="str">
        <f t="shared" si="2"/>
        <v>NA</v>
      </c>
      <c r="L17" s="1"/>
      <c r="M17" s="1"/>
      <c r="N17" s="1"/>
      <c r="O17" s="1"/>
      <c r="P17" s="1"/>
      <c r="Q17" s="1"/>
      <c r="T17" s="1"/>
    </row>
    <row r="18" spans="1:16384" s="5" customFormat="1" ht="24.95" customHeight="1" x14ac:dyDescent="0.25">
      <c r="A18" s="10" t="s">
        <v>26</v>
      </c>
      <c r="B18" s="11">
        <f>SUM(B14:B17)</f>
        <v>75651773.570000023</v>
      </c>
      <c r="C18" s="11">
        <f t="shared" ref="C18:G18" si="5">SUM(C14:C17)</f>
        <v>75651773.570000023</v>
      </c>
      <c r="D18" s="11">
        <f t="shared" si="5"/>
        <v>4886735.9799999967</v>
      </c>
      <c r="E18" s="11">
        <f t="shared" si="5"/>
        <v>7918788.4300000016</v>
      </c>
      <c r="F18" s="11">
        <f t="shared" si="5"/>
        <v>11013277.380000001</v>
      </c>
      <c r="G18" s="11">
        <f t="shared" si="5"/>
        <v>18932065.810000002</v>
      </c>
      <c r="H18" s="11">
        <f t="shared" ref="H18" si="6">SUM(H14:H17)</f>
        <v>56719707.76000002</v>
      </c>
      <c r="I18" s="36">
        <f t="shared" si="2"/>
        <v>0.74974723107473085</v>
      </c>
      <c r="L18" s="1"/>
      <c r="M18" s="1"/>
      <c r="N18" s="1"/>
      <c r="O18" s="1"/>
      <c r="P18" s="1"/>
      <c r="Q18" s="1"/>
      <c r="R18" s="1"/>
      <c r="T18" s="1"/>
    </row>
    <row r="19" spans="1:16384" s="5" customFormat="1" x14ac:dyDescent="0.25">
      <c r="A19" s="12"/>
      <c r="B19" s="13"/>
      <c r="C19" s="13"/>
      <c r="D19" s="13"/>
      <c r="E19" s="13"/>
      <c r="F19" s="13"/>
      <c r="G19" s="13"/>
      <c r="H19" s="13"/>
      <c r="I19" s="15"/>
      <c r="L19" s="1"/>
      <c r="M19" s="1"/>
      <c r="N19" s="1"/>
      <c r="O19" s="1"/>
      <c r="P19" s="1"/>
      <c r="Q19" s="1"/>
      <c r="R19" s="1"/>
      <c r="S19" s="1"/>
      <c r="T19" s="1"/>
    </row>
    <row r="20" spans="1:16384" s="5" customFormat="1" x14ac:dyDescent="0.25">
      <c r="A20" s="6" t="s">
        <v>27</v>
      </c>
      <c r="B20" s="7">
        <f>B13-B18</f>
        <v>-0.20000001788139343</v>
      </c>
      <c r="C20" s="7">
        <f>C13-C18</f>
        <v>-0.20000001788139343</v>
      </c>
      <c r="D20" s="7">
        <f>D13-D18</f>
        <v>-4481704.8199999966</v>
      </c>
      <c r="E20" s="7">
        <f>E13-E18</f>
        <v>-7051746.6400000015</v>
      </c>
      <c r="F20" s="7"/>
      <c r="G20" s="7">
        <f>G13-G18</f>
        <v>-18065024.020000003</v>
      </c>
      <c r="H20" s="7">
        <f>H13-H18</f>
        <v>18065023.819999978</v>
      </c>
      <c r="I20" s="16"/>
      <c r="L20" s="1"/>
      <c r="M20" s="1"/>
      <c r="N20" s="1"/>
      <c r="O20" s="1"/>
      <c r="P20" s="1"/>
      <c r="Q20" s="1"/>
      <c r="R20" s="1"/>
      <c r="S20" s="1"/>
    </row>
    <row r="21" spans="1:16384" s="5" customFormat="1" x14ac:dyDescent="0.25">
      <c r="A21" s="8"/>
      <c r="B21" s="9"/>
      <c r="C21" s="9"/>
      <c r="D21" s="9"/>
      <c r="E21" s="9"/>
      <c r="F21" s="9"/>
      <c r="G21" s="9"/>
      <c r="H21" s="9"/>
      <c r="I21" s="17"/>
      <c r="L21" s="1"/>
      <c r="M21" s="1"/>
      <c r="N21" s="1"/>
      <c r="O21" s="1"/>
      <c r="P21" s="1"/>
      <c r="Q21" s="1"/>
      <c r="R21" s="1"/>
      <c r="S21" s="1"/>
    </row>
    <row r="22" spans="1:16384" s="5" customFormat="1" x14ac:dyDescent="0.25">
      <c r="A22" s="18" t="s">
        <v>67</v>
      </c>
      <c r="B22" s="20"/>
      <c r="C22" s="20"/>
      <c r="D22" s="20"/>
      <c r="E22" s="20">
        <v>28575254</v>
      </c>
      <c r="F22" s="20"/>
      <c r="G22" s="20">
        <f>E22</f>
        <v>28575254</v>
      </c>
      <c r="H22" s="20"/>
      <c r="I22" s="21"/>
      <c r="L22" s="1"/>
      <c r="M22" s="1"/>
      <c r="N22" s="1"/>
      <c r="O22" s="1"/>
      <c r="P22" s="1"/>
      <c r="Q22" s="1"/>
      <c r="R22" s="1"/>
      <c r="S22" s="1"/>
    </row>
    <row r="23" spans="1:16384" s="5" customFormat="1" ht="24.95" customHeight="1" thickBot="1" x14ac:dyDescent="0.3">
      <c r="A23" s="22" t="s">
        <v>28</v>
      </c>
      <c r="B23" s="24"/>
      <c r="C23" s="24"/>
      <c r="D23" s="24"/>
      <c r="E23" s="24">
        <f>SUM(E20:E22)</f>
        <v>21523507.359999999</v>
      </c>
      <c r="F23" s="24"/>
      <c r="G23" s="24">
        <f>SUM(G20:G22)</f>
        <v>10510229.979999997</v>
      </c>
      <c r="H23" s="24"/>
      <c r="I23" s="25"/>
      <c r="L23" s="1"/>
      <c r="M23" s="1"/>
      <c r="N23" s="1"/>
      <c r="O23" s="1"/>
      <c r="P23" s="1"/>
      <c r="Q23" s="1"/>
      <c r="R23" s="1"/>
      <c r="S23" s="1"/>
      <c r="T23" s="1"/>
    </row>
    <row r="24" spans="1:16384" s="5" customFormat="1" x14ac:dyDescent="0.25">
      <c r="A24" s="31"/>
      <c r="B24" s="33"/>
      <c r="C24" s="33"/>
      <c r="D24" s="33"/>
      <c r="E24" s="33"/>
      <c r="F24" s="33"/>
      <c r="G24" s="33"/>
      <c r="H24" s="3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16384" s="5" customFormat="1" x14ac:dyDescent="0.25">
      <c r="B25" s="30"/>
      <c r="C25" s="140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16384" s="5" customFormat="1" x14ac:dyDescent="0.25">
      <c r="A26" s="1"/>
      <c r="B26" s="30"/>
      <c r="C26" s="30"/>
      <c r="D26" s="30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  <c r="XFC26" s="1"/>
      <c r="XFD26" s="1"/>
    </row>
    <row r="27" spans="1:16384" x14ac:dyDescent="0.25">
      <c r="G27" s="1"/>
      <c r="H27" s="1"/>
    </row>
    <row r="28" spans="1:16384" x14ac:dyDescent="0.25">
      <c r="I28" s="30"/>
      <c r="J28" s="30"/>
    </row>
    <row r="29" spans="1:16384" x14ac:dyDescent="0.25">
      <c r="I29" s="30"/>
      <c r="J29" s="30"/>
    </row>
    <row r="30" spans="1:16384" x14ac:dyDescent="0.25">
      <c r="G30" s="1"/>
      <c r="H30" s="1"/>
    </row>
    <row r="31" spans="1:16384" x14ac:dyDescent="0.25">
      <c r="I31" s="30"/>
    </row>
    <row r="32" spans="1:16384" x14ac:dyDescent="0.25">
      <c r="I32" s="30"/>
      <c r="J32" s="30"/>
    </row>
    <row r="33" spans="5:10" x14ac:dyDescent="0.25">
      <c r="I33" s="30"/>
      <c r="J33" s="30"/>
    </row>
    <row r="34" spans="5:10" x14ac:dyDescent="0.25">
      <c r="G34" s="1"/>
      <c r="H34" s="1"/>
    </row>
    <row r="35" spans="5:10" x14ac:dyDescent="0.25">
      <c r="E35" s="1"/>
      <c r="F35" s="1"/>
      <c r="G35" s="1"/>
      <c r="H35" s="1"/>
    </row>
    <row r="36" spans="5:10" x14ac:dyDescent="0.25">
      <c r="G36" s="1"/>
      <c r="H36" s="1"/>
    </row>
    <row r="37" spans="5:10" x14ac:dyDescent="0.25">
      <c r="H37" s="1"/>
    </row>
    <row r="38" spans="5:10" x14ac:dyDescent="0.25">
      <c r="H38" s="1"/>
    </row>
    <row r="39" spans="5:10" x14ac:dyDescent="0.25">
      <c r="H39" s="1"/>
    </row>
    <row r="40" spans="5:10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31FE70-6FE1-4FFF-A898-2B385D537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125589-3B97-4A8E-BFB5-F8CAEDF79A9D}">
  <ds:schemaRefs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d92ff4e-e524-4e6b-bcac-5c88d6f646b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(2024)</vt:lpstr>
      <vt:lpstr>SPECIAL REVENUE</vt:lpstr>
      <vt:lpstr>DEBT SERVICE</vt:lpstr>
      <vt:lpstr>CAPITAL PROJECTS</vt:lpstr>
      <vt:lpstr>SCHOOL NUTRITION</vt:lpstr>
      <vt:lpstr>Budget vs Actual (2024)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FINANCE</cp:lastModifiedBy>
  <cp:lastPrinted>2023-10-18T12:02:38Z</cp:lastPrinted>
  <dcterms:created xsi:type="dcterms:W3CDTF">2020-01-29T12:55:36Z</dcterms:created>
  <dcterms:modified xsi:type="dcterms:W3CDTF">2023-10-18T15:12:06Z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