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0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G14" i="4"/>
  <c r="H14" i="4" s="1"/>
  <c r="I19" i="4" l="1"/>
  <c r="I20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6" i="2"/>
  <c r="G33" i="1"/>
  <c r="C18" i="5"/>
  <c r="D18" i="5"/>
  <c r="E18" i="5"/>
  <c r="F18" i="5"/>
  <c r="B18" i="5"/>
  <c r="B22" i="4"/>
  <c r="C22" i="4"/>
  <c r="D22" i="4"/>
  <c r="E22" i="4"/>
  <c r="F22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1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4" i="4"/>
  <c r="D34" i="2"/>
  <c r="C34" i="2"/>
  <c r="B31" i="1"/>
  <c r="E15" i="3"/>
  <c r="E18" i="3" s="1"/>
  <c r="D15" i="3"/>
  <c r="B34" i="2"/>
  <c r="D31" i="1"/>
  <c r="C31" i="1"/>
  <c r="G12" i="1"/>
  <c r="G13" i="5"/>
  <c r="B24" i="4"/>
  <c r="H18" i="5"/>
  <c r="I18" i="5" s="1"/>
  <c r="G18" i="5"/>
  <c r="G12" i="4"/>
  <c r="E24" i="4"/>
  <c r="E27" i="4" s="1"/>
  <c r="D24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2" i="4"/>
  <c r="I22" i="4" s="1"/>
  <c r="C46" i="10"/>
  <c r="F51" i="10"/>
  <c r="G22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4" i="4"/>
  <c r="G27" i="4" s="1"/>
  <c r="H13" i="2"/>
  <c r="I8" i="2"/>
  <c r="H20" i="5"/>
  <c r="I13" i="5"/>
  <c r="G51" i="10"/>
  <c r="F53" i="10"/>
  <c r="D46" i="10"/>
  <c r="B55" i="10" s="1"/>
  <c r="I12" i="4"/>
  <c r="H24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<sst xmlns="http://schemas.openxmlformats.org/spreadsheetml/2006/main" count="268" uniqueCount="84">
  <si>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</si>
  <si>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</si>
  <si>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</si>
  <si>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</si>
  <si>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</si>
  <si>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</si>
  <si>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</si>
  <si>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</si>
  <si>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</si>
  <si>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</si>
  <si>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</si>
  <si>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</si>
  <si>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</si>
  <si>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</si>
  <si>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</si>
  <si>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</si>
  <si>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</si>
  <si>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</si>
  <si>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</si>
  <si>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</si>
  <si>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</si>
  <si>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</si>
  <si>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</si>
  <si>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</si>
  <si>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</si>
  <si>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</si>
  <si>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</si>
  <si>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</si>
  <si>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</si>
  <si>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</si>
  <si>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</si>
  <si>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</si>
  <si>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</si>
  <si>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</si>
  <si>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</si>
  <si>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</si>
  <si>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</si>
  <si>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</si>
  <si>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</si>
  <si>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</si>
  <si>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</si>
  <si>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</si>
  <si>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</si>
  <si>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</si>
  <si>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</si>
  <si>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</si>
  <si>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</si>
  <si>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</si>
  <si>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</si>
  <si>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</si>
  <si>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</si>
  <si>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</si>
  <si>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</si>
  <si>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</si>
  <si>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</si>
  <si>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</si>
  <si>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</si>
  <si>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</si>
  <si>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</si>
  <si>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</si>
  <si>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</si>
  <si>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</si>
  <si>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</si>
  <si>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</si>
  <si>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</si>
  <si>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</si>
  <si>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</si>
  <si>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</si>
  <si>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</si>
  <si>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</si>
  <si>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</si>
  <si>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</si>
  <si>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</si>
  <si>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</si>
  <si>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</si>
  <si>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</si>
  <si>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</si>
  <si>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</si>
  <si>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</si>
  <si>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</si>
  <si>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</si>
  <si>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$1,474,962,911</t>
  </si>
  <si>
    <t>GENERAL OPERATIONS YTD EXPENSES
$348,891,640</t>
  </si>
  <si>
    <t>(LOCAL &amp; OTHER)  Budgeted: $930,818,788  Actual: $470,569,520  50.55%
(STATE)  Budgeted: $524,150,275  Actual: $116,236,435   22.18%
TOTAL Budgeted: $1,454,969,063  Actual: $586,805,955   40.33%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</si>
</sst>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1126071271.9100111</c:v>
                </c:pt>
                <c:pt idx="1">
                  <c:v>348891639.51000023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196060622813422E-2"/>
                  <c:y val="-6.67971721500466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6.514683157082797E-2"/>
                  <c:y val="-0.132754726663130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7.2216649949849457E-2"/>
                  <c:y val="-6.54738104896729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1364566139362871E-2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533013739380863E-2"/>
                  <c:y val="7.45874202976939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5981050763840066"/>
                  <c:y val="0.1109254308865288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6.0541940782978858E-2"/>
                  <c:y val="0.132613958261822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814590753888964"/>
                  <c:y val="-0.1293977816841586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185175151.29000038</c:v>
                </c:pt>
                <c:pt idx="1">
                  <c:v>17823775.18</c:v>
                </c:pt>
                <c:pt idx="2">
                  <c:v>5381393.5800000029</c:v>
                </c:pt>
                <c:pt idx="3">
                  <c:v>615.90000000000009</c:v>
                </c:pt>
                <c:pt idx="4">
                  <c:v>3070583.6900000023</c:v>
                </c:pt>
                <c:pt idx="5">
                  <c:v>29311170.179999996</c:v>
                </c:pt>
                <c:pt idx="6">
                  <c:v>23831614.809999902</c:v>
                </c:pt>
                <c:pt idx="7">
                  <c:v>4424347.450000003</c:v>
                </c:pt>
                <c:pt idx="8">
                  <c:v>49940009.109999962</c:v>
                </c:pt>
                <c:pt idx="9">
                  <c:v>17806700.180000007</c:v>
                </c:pt>
                <c:pt idx="10">
                  <c:v>11191698.000000002</c:v>
                </c:pt>
                <c:pt idx="11">
                  <c:v>311015.11</c:v>
                </c:pt>
                <c:pt idx="12">
                  <c:v>4799.2499999999973</c:v>
                </c:pt>
                <c:pt idx="13">
                  <c:v>0</c:v>
                </c:pt>
                <c:pt idx="14">
                  <c:v>618765.78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$1,474,962,911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$348,891,640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185175151.29000038</c:v>
                </c:pt>
                <c:pt idx="1">
                  <c:v>17823775.18</c:v>
                </c:pt>
                <c:pt idx="2">
                  <c:v>5381393.5800000029</c:v>
                </c:pt>
                <c:pt idx="3">
                  <c:v>615.90000000000009</c:v>
                </c:pt>
                <c:pt idx="4">
                  <c:v>3070583.6900000023</c:v>
                </c:pt>
                <c:pt idx="5">
                  <c:v>29311170.179999996</c:v>
                </c:pt>
                <c:pt idx="6">
                  <c:v>23831614.809999902</c:v>
                </c:pt>
                <c:pt idx="7">
                  <c:v>4424347.450000003</c:v>
                </c:pt>
                <c:pt idx="8">
                  <c:v>49940009.109999962</c:v>
                </c:pt>
                <c:pt idx="9">
                  <c:v>17806700.180000007</c:v>
                </c:pt>
                <c:pt idx="10">
                  <c:v>11191698.000000002</c:v>
                </c:pt>
                <c:pt idx="11">
                  <c:v>311015.11</c:v>
                </c:pt>
                <c:pt idx="12">
                  <c:v>4799.2499999999973</c:v>
                </c:pt>
                <c:pt idx="13">
                  <c:v>0</c:v>
                </c:pt>
                <c:pt idx="14">
                  <c:v>618765.78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1160992"/>
        <c:axId val="731161776"/>
      </c:barChart>
      <c:valAx>
        <c:axId val="731161776"/>
        <c:scaling>
          <c:orientation val="minMax"/>
          <c:max val="2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6099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731160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6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524150274.62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466175352.57000005</c:v>
                </c:pt>
                <c:pt idx="1">
                  <c:v>4316417.8500000006</c:v>
                </c:pt>
                <c:pt idx="2">
                  <c:v>116236434.88</c:v>
                </c:pt>
                <c:pt idx="3">
                  <c:v>77749.820000000007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$470,569,520  50.55%
(STATE)  Budgeted: $524,150,275  Actual: $116,236,435   22.18%
TOTAL Budgeted: $1,454,969,063  Actual: $586,805,955   40.33%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$470,569,520  50.55%
(STATE)  Budgeted: $524,150,275  Actual: $116,236,435   22.18%
TOTAL Budgeted: $1,454,969,063  Actual: $586,805,955   40.33%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159816"/>
        <c:axId val="731158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$470,569,520  50.55%
(STATE)  Budgeted: $524,150,275  Actual: $116,236,435   22.18%
TOTAL Budgeted: $1,454,969,063  Actual: $586,805,955   40.33%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$470,569,520  50.55%
(STATE)  Budgeted: $524,150,275  Actual: $116,236,435   22.18%
TOTAL Budgeted: $1,454,969,063  Actual: $586,805,955   40.33%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$470,569,520  50.55%
(STATE)  Budgeted: $524,150,275  Actual: $116,236,435   22.18%
TOTAL Budgeted: $1,454,969,063  Actual: $586,805,955   40.33%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$470,569,520  50.55%
(STATE)  Budgeted: $524,150,275  Actual: $116,236,435   22.18%
TOTAL Budgeted: $1,454,969,063  Actual: $586,805,955   40.33%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73115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58248"/>
        <c:crosses val="autoZero"/>
        <c:auto val="1"/>
        <c:lblAlgn val="ctr"/>
        <c:lblOffset val="500"/>
        <c:noMultiLvlLbl val="0"/>
      </c:catAx>
      <c:valAx>
        <c:axId val="73115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5981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$1,474,962,911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$348,891,640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$1,474,962,911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$470,569,520  50.55%</a:t>
          </a:r>
        </a:p>
        <a:p xmlns:a="http://schemas.openxmlformats.org/drawingml/2006/main">
          <a:pPr algn="ctr"/>
          <a:r>
            <a:rPr lang="en-US" sz="1100"/>
            <a:t>(STATE)  Budgeted: $524,150,275  Actual: $116,236,435   22.18%</a:t>
          </a:r>
        </a:p>
        <a:p xmlns:a="http://schemas.openxmlformats.org/drawingml/2006/main">
          <a:pPr algn="ctr"/>
          <a:r>
            <a:rPr lang="en-US" sz="1100"/>
            <a:t>TOTAL Budgeted: $1,454,969,063  Actual: $586,805,955   40.33%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23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23" x14ac:dyDescent="0.25">
      <c r="A4" s="153">
        <v>45230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23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  <c r="Q7" s="138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340581323.85000002</v>
      </c>
      <c r="E8" s="7">
        <v>466175352.56999993</v>
      </c>
      <c r="F8" s="7">
        <v>0</v>
      </c>
      <c r="G8" s="7">
        <f t="shared" ref="G8:G28" si="0">SUM(E8:F8)</f>
        <v>466175352.56999993</v>
      </c>
      <c r="H8" s="7">
        <f t="shared" ref="H8:H11" si="1">C8-G8</f>
        <v>454209663.6400001</v>
      </c>
      <c r="I8" s="35">
        <f>IF(C8=0,"NA",H8/C8)</f>
        <v>0.49349962856888269</v>
      </c>
      <c r="L8"/>
      <c r="M8" s="139"/>
      <c r="N8" s="139"/>
      <c r="O8" s="139"/>
      <c r="P8" s="139"/>
      <c r="Q8" s="139"/>
      <c r="S8" s="138"/>
      <c r="T8" s="138"/>
      <c r="U8" s="138"/>
      <c r="V8" s="138"/>
      <c r="W8" s="138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805959.09</v>
      </c>
      <c r="E9" s="7">
        <v>4316417.8499999996</v>
      </c>
      <c r="F9" s="7">
        <v>0</v>
      </c>
      <c r="G9" s="7">
        <f>SUM(E9:F9)</f>
        <v>4316417.8499999996</v>
      </c>
      <c r="H9" s="7">
        <f>C9-G9</f>
        <v>4683582.1500000004</v>
      </c>
      <c r="I9" s="35">
        <f t="shared" ref="I9:I28" si="2">IF(C9=0,"NA",H9/C9)</f>
        <v>0.52039801666666674</v>
      </c>
      <c r="L9"/>
      <c r="M9" s="139"/>
      <c r="N9" s="139"/>
      <c r="O9" s="139"/>
      <c r="P9" s="139"/>
      <c r="Q9" s="139"/>
      <c r="S9" s="138"/>
      <c r="T9" s="138"/>
      <c r="U9" s="138"/>
      <c r="V9" s="138"/>
      <c r="W9" s="138"/>
    </row>
    <row r="10" spans="1:23" s="5" customFormat="1" x14ac:dyDescent="0.2">
      <c r="A10" s="6" t="s">
        <v>10</v>
      </c>
      <c r="B10" s="7">
        <v>523845317.62</v>
      </c>
      <c r="C10" s="7">
        <v>524150274.62</v>
      </c>
      <c r="D10" s="7">
        <v>50469643.259999998</v>
      </c>
      <c r="E10" s="7">
        <v>116236434.88000001</v>
      </c>
      <c r="F10" s="7">
        <v>0</v>
      </c>
      <c r="G10" s="7">
        <f t="shared" si="0"/>
        <v>116236434.88000001</v>
      </c>
      <c r="H10" s="7">
        <f t="shared" si="1"/>
        <v>407913839.74000001</v>
      </c>
      <c r="I10" s="35">
        <f t="shared" si="2"/>
        <v>0.77823834020831251</v>
      </c>
      <c r="L10"/>
      <c r="M10" s="139"/>
      <c r="N10" s="139"/>
      <c r="O10" s="139"/>
      <c r="P10" s="139"/>
      <c r="Q10" s="139"/>
      <c r="S10" s="138"/>
      <c r="T10" s="138"/>
      <c r="U10" s="138"/>
      <c r="V10" s="138"/>
      <c r="W10" s="138"/>
    </row>
    <row r="11" spans="1:23" s="5" customFormat="1" x14ac:dyDescent="0.2">
      <c r="A11" s="6" t="s">
        <v>11</v>
      </c>
      <c r="B11" s="7">
        <v>1433772</v>
      </c>
      <c r="C11" s="7">
        <v>1433772</v>
      </c>
      <c r="D11" s="7">
        <v>3290.63</v>
      </c>
      <c r="E11" s="7">
        <v>77749.820000000007</v>
      </c>
      <c r="F11" s="7">
        <v>0</v>
      </c>
      <c r="G11" s="7">
        <f t="shared" si="0"/>
        <v>77749.820000000007</v>
      </c>
      <c r="H11" s="7">
        <f t="shared" si="1"/>
        <v>1356022.18</v>
      </c>
      <c r="I11" s="35">
        <f t="shared" si="2"/>
        <v>0.94577253566117903</v>
      </c>
      <c r="L11"/>
      <c r="M11" s="139"/>
      <c r="N11" s="139"/>
      <c r="O11" s="139"/>
      <c r="P11" s="139"/>
      <c r="Q11" s="139"/>
      <c r="S11" s="138"/>
      <c r="T11" s="138"/>
      <c r="U11" s="138"/>
      <c r="V11" s="138"/>
      <c r="W11" s="138"/>
    </row>
    <row r="12" spans="1:23" s="5" customFormat="1" ht="24.95" customHeight="1" x14ac:dyDescent="0.25">
      <c r="A12" s="10" t="s">
        <v>12</v>
      </c>
      <c r="B12" s="11">
        <f t="shared" ref="B12:H12" si="3">SUM(B8:B11)</f>
        <v>1454678734.8299999</v>
      </c>
      <c r="C12" s="11">
        <f t="shared" si="3"/>
        <v>1454969062.8299999</v>
      </c>
      <c r="D12" s="11">
        <f t="shared" si="3"/>
        <v>391860216.82999998</v>
      </c>
      <c r="E12" s="11">
        <f t="shared" si="3"/>
        <v>586805955.12</v>
      </c>
      <c r="F12" s="11">
        <f t="shared" si="3"/>
        <v>0</v>
      </c>
      <c r="G12" s="11">
        <f t="shared" si="3"/>
        <v>586805955.12</v>
      </c>
      <c r="H12" s="11">
        <f t="shared" si="3"/>
        <v>868163107.71000004</v>
      </c>
      <c r="I12" s="36">
        <f t="shared" si="2"/>
        <v>0.59668836258371849</v>
      </c>
      <c r="L12" s="1"/>
      <c r="M12" s="1"/>
      <c r="N12" s="1"/>
      <c r="O12" s="1"/>
      <c r="P12" s="1"/>
      <c r="Q12" s="1"/>
      <c r="R12" s="1"/>
      <c r="S12" s="1"/>
    </row>
    <row r="13" spans="1:23" s="5" customFormat="1" x14ac:dyDescent="0.25">
      <c r="A13" s="12" t="s">
        <v>13</v>
      </c>
      <c r="B13" s="13">
        <v>823739509.84001064</v>
      </c>
      <c r="C13" s="13">
        <v>817840282.74001074</v>
      </c>
      <c r="D13" s="13">
        <v>80943118.90000017</v>
      </c>
      <c r="E13" s="13">
        <v>185175151.29000038</v>
      </c>
      <c r="F13" s="13">
        <v>6717171.7500000121</v>
      </c>
      <c r="G13" s="13">
        <f t="shared" si="0"/>
        <v>191892323.04000038</v>
      </c>
      <c r="H13" s="13">
        <f t="shared" ref="H13:H28" si="4">C13-G13</f>
        <v>625947959.7000103</v>
      </c>
      <c r="I13" s="35">
        <f t="shared" si="2"/>
        <v>0.765366995133691</v>
      </c>
      <c r="L13" s="137"/>
      <c r="M13" s="137"/>
      <c r="N13" s="137"/>
      <c r="O13" s="137"/>
      <c r="P13" s="137"/>
      <c r="Q13" s="138"/>
      <c r="S13" s="138"/>
      <c r="T13" s="138"/>
      <c r="U13" s="138"/>
      <c r="V13" s="138"/>
      <c r="W13" s="138"/>
    </row>
    <row r="14" spans="1:23" s="5" customFormat="1" x14ac:dyDescent="0.25">
      <c r="A14" s="6" t="s">
        <v>14</v>
      </c>
      <c r="B14" s="7">
        <v>93507172.169999838</v>
      </c>
      <c r="C14" s="7">
        <v>95154592.049999833</v>
      </c>
      <c r="D14" s="7">
        <v>7506779.2599999988</v>
      </c>
      <c r="E14" s="7">
        <v>17823775.18</v>
      </c>
      <c r="F14" s="7">
        <v>2861966.7900000005</v>
      </c>
      <c r="G14" s="7">
        <f t="shared" si="0"/>
        <v>20685741.969999999</v>
      </c>
      <c r="H14" s="7">
        <f t="shared" si="4"/>
        <v>74468850.079999834</v>
      </c>
      <c r="I14" s="35">
        <f t="shared" si="2"/>
        <v>0.78260910457027144</v>
      </c>
      <c r="L14" s="137"/>
      <c r="M14" s="137"/>
      <c r="N14" s="137"/>
      <c r="O14" s="137"/>
      <c r="P14" s="137"/>
      <c r="Q14" s="138"/>
      <c r="S14" s="138"/>
      <c r="T14" s="138"/>
      <c r="U14" s="138"/>
      <c r="V14" s="138"/>
      <c r="W14" s="138"/>
    </row>
    <row r="15" spans="1:23" s="5" customFormat="1" x14ac:dyDescent="0.25">
      <c r="A15" s="6" t="s">
        <v>15</v>
      </c>
      <c r="B15" s="7">
        <v>17696254.909999996</v>
      </c>
      <c r="C15" s="7">
        <v>17591421.429999996</v>
      </c>
      <c r="D15" s="7">
        <v>1437144.8499999994</v>
      </c>
      <c r="E15" s="7">
        <v>5381393.5800000029</v>
      </c>
      <c r="F15" s="7">
        <v>288027.73999999987</v>
      </c>
      <c r="G15" s="7">
        <f t="shared" si="0"/>
        <v>5669421.3200000031</v>
      </c>
      <c r="H15" s="7">
        <f t="shared" si="4"/>
        <v>11922000.109999992</v>
      </c>
      <c r="I15" s="35">
        <f t="shared" si="2"/>
        <v>0.67771670171396692</v>
      </c>
      <c r="L15" s="137"/>
      <c r="M15" s="137"/>
      <c r="N15" s="137"/>
      <c r="O15" s="137"/>
      <c r="P15" s="137"/>
      <c r="Q15" s="138"/>
      <c r="S15" s="138"/>
      <c r="T15" s="138"/>
      <c r="U15" s="138"/>
      <c r="V15" s="138"/>
      <c r="W15" s="138"/>
    </row>
    <row r="16" spans="1:23" s="5" customFormat="1" x14ac:dyDescent="0.2">
      <c r="A16" s="6" t="s">
        <v>16</v>
      </c>
      <c r="B16" s="7">
        <v>1041887.36</v>
      </c>
      <c r="C16" s="7">
        <v>1048179.36</v>
      </c>
      <c r="D16" s="7">
        <v>0</v>
      </c>
      <c r="E16" s="7">
        <v>615.90000000000009</v>
      </c>
      <c r="F16" s="7">
        <v>19615</v>
      </c>
      <c r="G16" s="7">
        <f t="shared" si="0"/>
        <v>20230.900000000001</v>
      </c>
      <c r="H16" s="7">
        <f t="shared" si="4"/>
        <v>1027948.46</v>
      </c>
      <c r="I16" s="35">
        <f t="shared" si="2"/>
        <v>0.98069900937564725</v>
      </c>
      <c r="M16" s="138"/>
      <c r="N16" s="138"/>
      <c r="O16" s="138"/>
      <c r="P16" s="138"/>
      <c r="Q16" s="138"/>
      <c r="S16" s="138"/>
      <c r="T16" s="138"/>
      <c r="U16" s="138"/>
      <c r="V16" s="138"/>
      <c r="W16" s="138"/>
    </row>
    <row r="17" spans="1:23" s="5" customFormat="1" x14ac:dyDescent="0.2">
      <c r="A17" s="6" t="s">
        <v>17</v>
      </c>
      <c r="B17" s="7">
        <v>16806266.969999984</v>
      </c>
      <c r="C17" s="7">
        <v>16807910.719999984</v>
      </c>
      <c r="D17" s="7">
        <v>1363350.0000000012</v>
      </c>
      <c r="E17" s="7">
        <v>3070583.6900000032</v>
      </c>
      <c r="F17" s="7">
        <v>85271.959999999992</v>
      </c>
      <c r="G17" s="7">
        <f t="shared" si="0"/>
        <v>3155855.6500000032</v>
      </c>
      <c r="H17" s="7">
        <f t="shared" si="4"/>
        <v>13652055.069999982</v>
      </c>
      <c r="I17" s="35">
        <f t="shared" si="2"/>
        <v>0.81223986118365077</v>
      </c>
      <c r="M17" s="138"/>
      <c r="N17" s="138"/>
      <c r="O17" s="138"/>
      <c r="P17" s="138"/>
      <c r="Q17" s="138"/>
      <c r="S17" s="138"/>
      <c r="T17" s="138"/>
      <c r="U17" s="138"/>
      <c r="V17" s="138"/>
      <c r="W17" s="138"/>
    </row>
    <row r="18" spans="1:23" s="5" customFormat="1" x14ac:dyDescent="0.2">
      <c r="A18" s="6" t="s">
        <v>18</v>
      </c>
      <c r="B18" s="7">
        <v>63460019.679999761</v>
      </c>
      <c r="C18" s="7">
        <v>64256325.889999762</v>
      </c>
      <c r="D18" s="7">
        <v>24481131.339999996</v>
      </c>
      <c r="E18" s="7">
        <v>29311170.179999996</v>
      </c>
      <c r="F18" s="7">
        <v>1122303.8799999997</v>
      </c>
      <c r="G18" s="7">
        <f t="shared" si="0"/>
        <v>30433474.059999995</v>
      </c>
      <c r="H18" s="7">
        <f t="shared" si="4"/>
        <v>33822851.829999767</v>
      </c>
      <c r="I18" s="35">
        <f t="shared" si="2"/>
        <v>0.52637388399549978</v>
      </c>
      <c r="M18" s="138"/>
      <c r="N18" s="138"/>
      <c r="O18" s="138"/>
      <c r="P18" s="138"/>
      <c r="Q18" s="138"/>
      <c r="S18" s="138"/>
      <c r="T18" s="138"/>
      <c r="U18" s="138"/>
      <c r="V18" s="138"/>
      <c r="W18" s="138"/>
    </row>
    <row r="19" spans="1:23" s="5" customFormat="1" x14ac:dyDescent="0.2">
      <c r="A19" s="6" t="s">
        <v>19</v>
      </c>
      <c r="B19" s="7">
        <v>83936113.200001121</v>
      </c>
      <c r="C19" s="7">
        <v>83922113.200001121</v>
      </c>
      <c r="D19" s="7">
        <v>7185895.7900000056</v>
      </c>
      <c r="E19" s="7">
        <v>23831614.810000014</v>
      </c>
      <c r="F19" s="7">
        <v>8081.96</v>
      </c>
      <c r="G19" s="7">
        <f t="shared" si="0"/>
        <v>23839696.770000014</v>
      </c>
      <c r="H19" s="7">
        <f t="shared" si="4"/>
        <v>60082416.43000111</v>
      </c>
      <c r="I19" s="35">
        <f t="shared" si="2"/>
        <v>0.71593069024387135</v>
      </c>
      <c r="M19" s="138"/>
      <c r="N19" s="138"/>
      <c r="O19" s="138"/>
      <c r="P19" s="138"/>
      <c r="Q19" s="138"/>
      <c r="S19" s="138"/>
      <c r="T19" s="138"/>
      <c r="U19" s="138"/>
      <c r="V19" s="138"/>
      <c r="W19" s="138"/>
    </row>
    <row r="20" spans="1:23" s="5" customFormat="1" x14ac:dyDescent="0.2">
      <c r="A20" s="6" t="s">
        <v>20</v>
      </c>
      <c r="B20" s="7">
        <v>27492238.539999999</v>
      </c>
      <c r="C20" s="7">
        <v>26884020.329999998</v>
      </c>
      <c r="D20" s="7">
        <v>910915.87999999989</v>
      </c>
      <c r="E20" s="7">
        <v>4424347.4500000011</v>
      </c>
      <c r="F20" s="7">
        <v>1175192.45</v>
      </c>
      <c r="G20" s="7">
        <f t="shared" si="0"/>
        <v>5599539.9000000013</v>
      </c>
      <c r="H20" s="7">
        <f t="shared" si="4"/>
        <v>21284480.429999996</v>
      </c>
      <c r="I20" s="35">
        <f t="shared" si="2"/>
        <v>0.79171493581443808</v>
      </c>
      <c r="M20" s="138"/>
      <c r="N20" s="138"/>
      <c r="O20" s="138"/>
      <c r="P20" s="138"/>
      <c r="Q20" s="138"/>
      <c r="S20" s="138"/>
      <c r="T20" s="138"/>
      <c r="U20" s="138"/>
      <c r="V20" s="138"/>
      <c r="W20" s="138"/>
    </row>
    <row r="21" spans="1:23" s="5" customFormat="1" x14ac:dyDescent="0.2">
      <c r="A21" s="6" t="s">
        <v>70</v>
      </c>
      <c r="B21" s="7">
        <v>221490060.35000008</v>
      </c>
      <c r="C21" s="7">
        <v>222375240.60000011</v>
      </c>
      <c r="D21" s="7">
        <v>9344994.8699999973</v>
      </c>
      <c r="E21" s="7">
        <v>49940009.109999962</v>
      </c>
      <c r="F21" s="7">
        <v>35919441.969999999</v>
      </c>
      <c r="G21" s="7">
        <f t="shared" si="0"/>
        <v>85859451.079999954</v>
      </c>
      <c r="H21" s="7">
        <f t="shared" si="4"/>
        <v>136515789.52000016</v>
      </c>
      <c r="I21" s="35">
        <f t="shared" si="2"/>
        <v>0.61389833306829078</v>
      </c>
      <c r="M21" s="138"/>
      <c r="N21" s="138"/>
      <c r="O21" s="138"/>
      <c r="P21" s="138"/>
      <c r="Q21" s="138"/>
      <c r="S21" s="138"/>
      <c r="T21" s="138"/>
      <c r="U21" s="138"/>
      <c r="V21" s="138"/>
      <c r="W21" s="138"/>
    </row>
    <row r="22" spans="1:23" s="5" customFormat="1" x14ac:dyDescent="0.2">
      <c r="A22" s="6" t="s">
        <v>21</v>
      </c>
      <c r="B22" s="7">
        <v>79886601</v>
      </c>
      <c r="C22" s="7">
        <v>80397390.519999996</v>
      </c>
      <c r="D22" s="7">
        <v>6615062.6099999994</v>
      </c>
      <c r="E22" s="7">
        <v>17806700.180000003</v>
      </c>
      <c r="F22" s="7">
        <v>8413572.8499999996</v>
      </c>
      <c r="G22" s="7">
        <f t="shared" si="0"/>
        <v>26220273.030000001</v>
      </c>
      <c r="H22" s="7">
        <f t="shared" si="4"/>
        <v>54177117.489999995</v>
      </c>
      <c r="I22" s="35">
        <f t="shared" si="2"/>
        <v>0.67386661606290155</v>
      </c>
      <c r="M22" s="138"/>
      <c r="N22" s="138"/>
      <c r="O22" s="138"/>
      <c r="P22" s="138"/>
      <c r="Q22" s="138"/>
      <c r="S22" s="138"/>
      <c r="T22" s="138"/>
      <c r="U22" s="138"/>
      <c r="V22" s="138"/>
      <c r="W22" s="138"/>
    </row>
    <row r="23" spans="1:23" s="5" customFormat="1" x14ac:dyDescent="0.2">
      <c r="A23" s="6" t="s">
        <v>22</v>
      </c>
      <c r="B23" s="7">
        <v>33141661.300000001</v>
      </c>
      <c r="C23" s="7">
        <v>36687678.210000001</v>
      </c>
      <c r="D23" s="7">
        <v>3477469.9699999993</v>
      </c>
      <c r="E23" s="7">
        <v>11191698.000000002</v>
      </c>
      <c r="F23" s="7">
        <v>2725157.3700000006</v>
      </c>
      <c r="G23" s="7">
        <f t="shared" si="0"/>
        <v>13916855.370000003</v>
      </c>
      <c r="H23" s="7">
        <f t="shared" si="4"/>
        <v>22770822.839999996</v>
      </c>
      <c r="I23" s="35">
        <f t="shared" si="2"/>
        <v>0.62066677290560535</v>
      </c>
      <c r="M23" s="138"/>
      <c r="N23" s="138"/>
      <c r="O23" s="138"/>
      <c r="P23" s="138"/>
      <c r="Q23" s="138"/>
      <c r="S23" s="138"/>
      <c r="T23" s="138"/>
      <c r="U23" s="138"/>
      <c r="V23" s="138"/>
      <c r="W23" s="138"/>
    </row>
    <row r="24" spans="1:23" s="5" customFormat="1" x14ac:dyDescent="0.25">
      <c r="A24" s="6" t="s">
        <v>23</v>
      </c>
      <c r="B24" s="7">
        <v>3431416.47</v>
      </c>
      <c r="C24" s="7">
        <v>3259790.72</v>
      </c>
      <c r="D24" s="7">
        <v>124228.82</v>
      </c>
      <c r="E24" s="7">
        <v>311015.11</v>
      </c>
      <c r="F24" s="7">
        <v>0</v>
      </c>
      <c r="G24" s="7">
        <f t="shared" si="0"/>
        <v>311015.11</v>
      </c>
      <c r="H24" s="7">
        <f t="shared" si="4"/>
        <v>2948775.6100000003</v>
      </c>
      <c r="I24" s="35">
        <f t="shared" si="2"/>
        <v>0.90459046708372748</v>
      </c>
      <c r="L24" s="1"/>
      <c r="M24" s="137"/>
      <c r="N24" s="137"/>
      <c r="O24" s="137"/>
      <c r="P24" s="137"/>
      <c r="Q24" s="137"/>
      <c r="S24" s="138"/>
      <c r="T24" s="138"/>
      <c r="U24" s="138"/>
      <c r="V24" s="138"/>
      <c r="W24" s="138"/>
    </row>
    <row r="25" spans="1:23" s="5" customFormat="1" x14ac:dyDescent="0.25">
      <c r="A25" s="6" t="s">
        <v>29</v>
      </c>
      <c r="B25" s="7">
        <v>335000</v>
      </c>
      <c r="C25" s="7">
        <v>335000</v>
      </c>
      <c r="D25" s="7">
        <v>0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4"/>
        <v>330200.75</v>
      </c>
      <c r="I25" s="35">
        <f t="shared" si="2"/>
        <v>0.98567388059701488</v>
      </c>
      <c r="L25" s="1"/>
      <c r="M25" s="137"/>
      <c r="N25" s="137"/>
      <c r="O25" s="137"/>
      <c r="P25" s="137"/>
      <c r="Q25" s="137"/>
      <c r="S25" s="138"/>
      <c r="T25" s="138"/>
      <c r="U25" s="138"/>
      <c r="V25" s="138"/>
      <c r="W25" s="138"/>
    </row>
    <row r="26" spans="1:23" s="5" customFormat="1" x14ac:dyDescent="0.25">
      <c r="A26" s="6" t="s">
        <v>30</v>
      </c>
      <c r="B26" s="7">
        <v>61672.05</v>
      </c>
      <c r="C26" s="7">
        <v>61672.05</v>
      </c>
      <c r="D26" s="7">
        <v>0</v>
      </c>
      <c r="E26" s="7">
        <v>0</v>
      </c>
      <c r="F26" s="7">
        <v>0</v>
      </c>
      <c r="G26" s="7">
        <f t="shared" ref="G26" si="5">SUM(E26:F26)</f>
        <v>0</v>
      </c>
      <c r="H26" s="7">
        <f t="shared" ref="H26" si="6">C26-G26</f>
        <v>61672.05</v>
      </c>
      <c r="I26" s="35">
        <f t="shared" ref="I26" si="7">IF(C26=0,"NA",H26/C26)</f>
        <v>1</v>
      </c>
      <c r="K26" s="1"/>
      <c r="L26" s="1"/>
      <c r="M26" s="137"/>
      <c r="N26" s="137"/>
      <c r="O26" s="137"/>
      <c r="P26" s="137"/>
      <c r="Q26" s="137"/>
      <c r="R26" s="1"/>
      <c r="S26" s="138"/>
      <c r="T26" s="138"/>
      <c r="U26" s="138"/>
      <c r="V26" s="138"/>
      <c r="W26" s="138"/>
    </row>
    <row r="27" spans="1:23" s="5" customFormat="1" x14ac:dyDescent="0.25">
      <c r="A27" s="6" t="s">
        <v>25</v>
      </c>
      <c r="B27" s="7">
        <v>8341293.6000000006</v>
      </c>
      <c r="C27" s="7">
        <v>8341293.6000000006</v>
      </c>
      <c r="D27" s="7">
        <v>100000</v>
      </c>
      <c r="E27" s="7">
        <v>618765.78</v>
      </c>
      <c r="F27" s="7">
        <v>0</v>
      </c>
      <c r="G27" s="7">
        <f t="shared" si="0"/>
        <v>618765.78</v>
      </c>
      <c r="H27" s="7">
        <f t="shared" si="4"/>
        <v>7722527.8200000003</v>
      </c>
      <c r="I27" s="35">
        <f t="shared" si="2"/>
        <v>0.92581896649699513</v>
      </c>
      <c r="K27" s="1"/>
      <c r="L27" s="1"/>
      <c r="M27" s="137"/>
      <c r="N27" s="137"/>
      <c r="O27" s="137"/>
      <c r="P27" s="137"/>
      <c r="Q27" s="137"/>
      <c r="R27" s="1"/>
      <c r="S27" s="138"/>
      <c r="T27" s="138"/>
      <c r="U27" s="138"/>
      <c r="V27" s="138"/>
      <c r="W27" s="138"/>
    </row>
    <row r="28" spans="1:23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  <c r="S28" s="138"/>
      <c r="T28" s="138"/>
      <c r="U28" s="138"/>
      <c r="V28" s="138"/>
      <c r="W28" s="138"/>
    </row>
    <row r="29" spans="1:23" s="5" customFormat="1" ht="24.95" customHeight="1" x14ac:dyDescent="0.25">
      <c r="A29" s="10" t="s">
        <v>26</v>
      </c>
      <c r="B29" s="11">
        <f t="shared" ref="B29:H29" si="8">SUM(B13:B28)</f>
        <v>1474367167.4400113</v>
      </c>
      <c r="C29" s="11">
        <f t="shared" si="8"/>
        <v>1474962911.4200113</v>
      </c>
      <c r="D29" s="11">
        <f t="shared" si="8"/>
        <v>143490092.29000017</v>
      </c>
      <c r="E29" s="11">
        <f t="shared" si="8"/>
        <v>348891639.51000035</v>
      </c>
      <c r="F29" s="11">
        <f t="shared" si="8"/>
        <v>59335803.720000014</v>
      </c>
      <c r="G29" s="11">
        <f t="shared" si="8"/>
        <v>408227443.23000026</v>
      </c>
      <c r="H29" s="11">
        <f t="shared" si="8"/>
        <v>1066735468.1900111</v>
      </c>
      <c r="I29" s="36">
        <f>IF(C29=0,"NA",H29/C29)</f>
        <v>0.72322867234879706</v>
      </c>
      <c r="L29" s="1"/>
      <c r="M29" s="1"/>
      <c r="N29" s="1"/>
      <c r="O29" s="1"/>
      <c r="P29" s="1"/>
      <c r="Q29" s="1"/>
      <c r="R29" s="1"/>
      <c r="S29" s="1"/>
    </row>
    <row r="30" spans="1:23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ht="24.95" customHeight="1" x14ac:dyDescent="0.25">
      <c r="A31" s="6" t="s">
        <v>27</v>
      </c>
      <c r="B31" s="7">
        <f>B12-B29</f>
        <v>-19688432.610011339</v>
      </c>
      <c r="C31" s="7">
        <f>C12-C29</f>
        <v>-19993848.590011358</v>
      </c>
      <c r="D31" s="7">
        <f>D12-D29</f>
        <v>248370124.53999981</v>
      </c>
      <c r="E31" s="7">
        <f>E12-E29</f>
        <v>237914315.60999966</v>
      </c>
      <c r="F31" s="7"/>
      <c r="G31" s="7">
        <f>G12-G29</f>
        <v>178578511.88999975</v>
      </c>
      <c r="H31" s="7"/>
      <c r="I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6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605746981.60999966</v>
      </c>
      <c r="F36" s="24"/>
      <c r="G36" s="24">
        <f>+G35+G31</f>
        <v>546411177.88999975</v>
      </c>
      <c r="H36" s="24"/>
      <c r="I36" s="25"/>
      <c r="K36" s="1"/>
      <c r="L36" s="137"/>
      <c r="M36" s="137"/>
      <c r="N36" s="137"/>
      <c r="O36" s="137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L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"/>
      <c r="H39" s="1"/>
      <c r="L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"/>
      <c r="H40" s="1"/>
      <c r="K40" s="137"/>
      <c r="L40" s="137"/>
      <c r="M40" s="1"/>
      <c r="N40" s="1"/>
      <c r="O40" s="1"/>
      <c r="P40" s="1"/>
      <c r="Q40" s="1"/>
    </row>
    <row r="41" spans="1:21" x14ac:dyDescent="0.25">
      <c r="B41" s="137"/>
      <c r="C41" s="137"/>
      <c r="D41" s="137"/>
      <c r="E41" s="137"/>
      <c r="F41" s="137"/>
      <c r="G41" s="137"/>
      <c r="H41" s="137"/>
      <c r="L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L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L53" s="137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L54" s="137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L55" s="137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</row>
    <row r="57" spans="2:17" x14ac:dyDescent="0.25">
      <c r="B57" s="137"/>
      <c r="C57" s="137"/>
      <c r="D57" s="137"/>
      <c r="E57" s="137"/>
      <c r="F57" s="1"/>
      <c r="G57" s="1"/>
      <c r="H57" s="1"/>
    </row>
    <row r="58" spans="2:17" x14ac:dyDescent="0.25">
      <c r="B58" s="137"/>
      <c r="C58" s="137"/>
      <c r="D58" s="137"/>
      <c r="E58" s="137"/>
      <c r="F58" s="1"/>
      <c r="G58" s="1"/>
      <c r="H58" s="1"/>
    </row>
    <row r="59" spans="2:17" x14ac:dyDescent="0.25">
      <c r="B59" s="137"/>
      <c r="C59" s="137"/>
      <c r="D59" s="137"/>
      <c r="E59" s="137"/>
      <c r="F59" s="1"/>
      <c r="G59" s="1"/>
      <c r="H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E46" workbookViewId="0">
      <selection activeCell="R55" sqref="R55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7" width="13.42578125" style="50" bestFit="1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80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36</v>
      </c>
      <c r="C5" s="54" t="s">
        <v>37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38</v>
      </c>
      <c r="B6" s="56">
        <v>1474962911.4200113</v>
      </c>
      <c r="C6" s="57">
        <f>SUM(F25:Q25)</f>
        <v>348891639.51000023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39</v>
      </c>
      <c r="F7" s="61" t="s">
        <v>40</v>
      </c>
      <c r="G7" s="62" t="s">
        <v>41</v>
      </c>
      <c r="H7" s="62" t="s">
        <v>42</v>
      </c>
      <c r="I7" s="62" t="s">
        <v>43</v>
      </c>
      <c r="J7" s="62" t="s">
        <v>44</v>
      </c>
      <c r="K7" s="62" t="s">
        <v>45</v>
      </c>
      <c r="L7" s="62" t="s">
        <v>46</v>
      </c>
      <c r="M7" s="62" t="s">
        <v>47</v>
      </c>
      <c r="N7" s="62" t="s">
        <v>48</v>
      </c>
      <c r="O7" s="62" t="s">
        <v>49</v>
      </c>
      <c r="P7" s="62" t="s">
        <v>50</v>
      </c>
      <c r="Q7" s="63" t="s">
        <v>51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185175151.29000038</v>
      </c>
      <c r="F9" s="50">
        <f>12213444.82+3580.9499999471</f>
        <v>12217025.769999947</v>
      </c>
      <c r="G9" s="50">
        <f>13942179.5599998+15081.1700010001</f>
        <v>13957260.7300008</v>
      </c>
      <c r="H9" s="50">
        <f>78000020.8899999+55524.2399992644+2200.76000028848</f>
        <v>78057745.889999449</v>
      </c>
      <c r="I9" s="50">
        <v>80943118.90000017</v>
      </c>
      <c r="P9" s="51"/>
      <c r="Q9" s="99"/>
      <c r="R9" s="51" t="s">
        <v>13</v>
      </c>
      <c r="S9" s="99">
        <v>185175151.29000038</v>
      </c>
      <c r="T9" s="99">
        <f t="shared" ref="T9:T24" si="0">S9-E9</f>
        <v>0</v>
      </c>
      <c r="U9" s="99">
        <v>2200.7600002884801</v>
      </c>
    </row>
    <row r="10" spans="1:21" x14ac:dyDescent="0.2">
      <c r="B10" s="50"/>
      <c r="D10" s="52" t="s">
        <v>14</v>
      </c>
      <c r="E10" s="65">
        <f t="shared" ref="E10:E24" si="1">SUM(F10:Q10)</f>
        <v>17823775.18</v>
      </c>
      <c r="F10" s="50">
        <f>924891.19+1130.54999999981</f>
        <v>926021.73999999976</v>
      </c>
      <c r="G10" s="50">
        <f>2100394.27+11528.7300000078</f>
        <v>2111923.0000000079</v>
      </c>
      <c r="H10" s="50">
        <f>7273282.58+4443.59999998658+1325.00000000745</f>
        <v>7279051.1799999941</v>
      </c>
      <c r="I10" s="50">
        <v>7506779.2599999988</v>
      </c>
      <c r="P10" s="51"/>
      <c r="Q10" s="99"/>
      <c r="R10" s="51" t="s">
        <v>14</v>
      </c>
      <c r="S10" s="99">
        <v>17823775.18</v>
      </c>
      <c r="T10" s="99">
        <f t="shared" si="0"/>
        <v>0</v>
      </c>
      <c r="U10" s="99">
        <v>1325.0000000074499</v>
      </c>
    </row>
    <row r="11" spans="1:21" x14ac:dyDescent="0.2">
      <c r="B11" s="50"/>
      <c r="D11" s="52" t="s">
        <v>15</v>
      </c>
      <c r="E11" s="65">
        <f t="shared" si="1"/>
        <v>5381393.5800000029</v>
      </c>
      <c r="F11" s="50">
        <f>846901.83+38204.7099999999</f>
        <v>885106.5399999998</v>
      </c>
      <c r="G11" s="50">
        <f>1988564.9-9578.92999999644</f>
        <v>1978985.9700000035</v>
      </c>
      <c r="H11" s="50">
        <f>1078797.48+307.200000001117+1051.5399999991</f>
        <v>1080156.2200000002</v>
      </c>
      <c r="I11" s="50">
        <v>1437144.8499999994</v>
      </c>
      <c r="P11" s="51"/>
      <c r="Q11" s="99"/>
      <c r="R11" s="51" t="s">
        <v>15</v>
      </c>
      <c r="S11" s="99">
        <v>5381393.5800000029</v>
      </c>
      <c r="T11" s="99">
        <f t="shared" si="0"/>
        <v>0</v>
      </c>
      <c r="U11" s="99">
        <v>1051.5399999991</v>
      </c>
    </row>
    <row r="12" spans="1:21" x14ac:dyDescent="0.2">
      <c r="B12" s="50"/>
      <c r="D12" s="52" t="s">
        <v>16</v>
      </c>
      <c r="E12" s="65">
        <f t="shared" si="1"/>
        <v>615.90000000000009</v>
      </c>
      <c r="F12" s="50">
        <v>0</v>
      </c>
      <c r="G12" s="50">
        <v>0</v>
      </c>
      <c r="H12" s="50">
        <v>615.90000000000009</v>
      </c>
      <c r="I12" s="50">
        <v>0</v>
      </c>
      <c r="P12" s="51"/>
      <c r="Q12" s="99"/>
      <c r="R12" s="51" t="s">
        <v>16</v>
      </c>
      <c r="S12" s="99">
        <v>615.90000000000009</v>
      </c>
      <c r="T12" s="99">
        <f t="shared" si="0"/>
        <v>0</v>
      </c>
      <c r="U12" s="99">
        <v>0</v>
      </c>
    </row>
    <row r="13" spans="1:21" x14ac:dyDescent="0.2">
      <c r="B13" s="50"/>
      <c r="D13" s="52" t="s">
        <v>17</v>
      </c>
      <c r="E13" s="65">
        <f t="shared" si="1"/>
        <v>3070583.6900000023</v>
      </c>
      <c r="F13" s="50">
        <v>98846.819999999963</v>
      </c>
      <c r="G13" s="50">
        <f>121124.5+296.990000000922</f>
        <v>121421.49000000092</v>
      </c>
      <c r="H13" s="50">
        <f>1471291.58+15673.8000000002</f>
        <v>1486965.3800000004</v>
      </c>
      <c r="I13" s="50">
        <v>1363350.0000000012</v>
      </c>
      <c r="P13" s="51"/>
      <c r="Q13" s="99"/>
      <c r="R13" s="51" t="s">
        <v>17</v>
      </c>
      <c r="S13" s="99">
        <v>3070583.6900000032</v>
      </c>
      <c r="T13" s="99">
        <f t="shared" si="0"/>
        <v>0</v>
      </c>
      <c r="U13" s="99">
        <v>0</v>
      </c>
    </row>
    <row r="14" spans="1:21" x14ac:dyDescent="0.2">
      <c r="B14" s="50"/>
      <c r="D14" s="52" t="s">
        <v>18</v>
      </c>
      <c r="E14" s="65">
        <f t="shared" si="1"/>
        <v>29311170.179999996</v>
      </c>
      <c r="F14" s="50">
        <f>1033434.45+9553.50999999977</f>
        <v>1042987.9599999997</v>
      </c>
      <c r="G14" s="50">
        <f>1770620.04+3537.89999999944</f>
        <v>1774157.9399999995</v>
      </c>
      <c r="H14" s="50">
        <f>2010309.8+225.460000000894+2357.6799999997</f>
        <v>2012892.9400000006</v>
      </c>
      <c r="I14" s="50">
        <v>24481131.339999996</v>
      </c>
      <c r="P14" s="51"/>
      <c r="Q14" s="99"/>
      <c r="R14" s="51" t="s">
        <v>18</v>
      </c>
      <c r="S14" s="99">
        <v>29311170.179999996</v>
      </c>
      <c r="T14" s="99">
        <f t="shared" si="0"/>
        <v>0</v>
      </c>
      <c r="U14" s="99">
        <v>2357.6799999997002</v>
      </c>
    </row>
    <row r="15" spans="1:21" x14ac:dyDescent="0.2">
      <c r="A15" s="66" t="s">
        <v>52</v>
      </c>
      <c r="B15" s="130">
        <f>B6-C6</f>
        <v>1126071271.9100111</v>
      </c>
      <c r="C15" s="67">
        <f>B15/$B$6</f>
        <v>0.7634573474297689</v>
      </c>
      <c r="D15" s="52" t="s">
        <v>19</v>
      </c>
      <c r="E15" s="65">
        <f t="shared" si="1"/>
        <v>23831614.809999902</v>
      </c>
      <c r="F15" s="50">
        <v>2728240.7999999961</v>
      </c>
      <c r="G15" s="50">
        <v>6738063.0299998978</v>
      </c>
      <c r="H15" s="50">
        <v>7179415.1900000004</v>
      </c>
      <c r="I15" s="50">
        <v>7185895.7900000056</v>
      </c>
      <c r="P15" s="51"/>
      <c r="Q15" s="99"/>
      <c r="R15" s="51" t="s">
        <v>19</v>
      </c>
      <c r="S15" s="99">
        <v>23831614.810000014</v>
      </c>
      <c r="T15" s="99">
        <f t="shared" si="0"/>
        <v>1.1175870895385742E-7</v>
      </c>
      <c r="U15" s="99">
        <v>1.1175870895385742E-7</v>
      </c>
    </row>
    <row r="16" spans="1:21" x14ac:dyDescent="0.2">
      <c r="A16" s="66" t="s">
        <v>53</v>
      </c>
      <c r="B16" s="130">
        <f>C6</f>
        <v>348891639.51000023</v>
      </c>
      <c r="C16" s="67">
        <f>B16/$B$6</f>
        <v>0.23654265257023108</v>
      </c>
      <c r="D16" s="52" t="s">
        <v>20</v>
      </c>
      <c r="E16" s="65">
        <f t="shared" si="1"/>
        <v>4424347.450000003</v>
      </c>
      <c r="F16" s="50">
        <f>853765.21+939.729999999515</f>
        <v>854704.93999999948</v>
      </c>
      <c r="G16" s="50">
        <f>1525647.01+2768.17000000318</f>
        <v>1528415.1800000032</v>
      </c>
      <c r="H16" s="50">
        <f>1130009.31+302.139999999664</f>
        <v>1130311.4499999997</v>
      </c>
      <c r="I16" s="50">
        <v>910915.87999999989</v>
      </c>
      <c r="P16" s="51"/>
      <c r="Q16" s="99"/>
      <c r="R16" s="51" t="s">
        <v>20</v>
      </c>
      <c r="S16" s="99">
        <v>4424347.4500000011</v>
      </c>
      <c r="T16" s="99">
        <f t="shared" si="0"/>
        <v>0</v>
      </c>
      <c r="U16" s="99">
        <v>0</v>
      </c>
    </row>
    <row r="17" spans="1:21" x14ac:dyDescent="0.2">
      <c r="A17" s="52"/>
      <c r="B17" s="49"/>
      <c r="C17" s="52"/>
      <c r="D17" s="68" t="s">
        <v>54</v>
      </c>
      <c r="E17" s="65">
        <f t="shared" si="1"/>
        <v>49940009.109999962</v>
      </c>
      <c r="F17" s="50">
        <f>7984064.69+7975.93999999389</f>
        <v>7992040.6299999943</v>
      </c>
      <c r="G17" s="50">
        <f>16073176.09+291.480000004172</f>
        <v>16073467.570000004</v>
      </c>
      <c r="H17" s="50">
        <f>16514002.63+14678.1899999678+825.219999998807</f>
        <v>16529506.039999967</v>
      </c>
      <c r="I17" s="50">
        <v>9344994.8699999973</v>
      </c>
      <c r="P17" s="51"/>
      <c r="Q17" s="99"/>
      <c r="R17" s="51" t="s">
        <v>54</v>
      </c>
      <c r="S17" s="99">
        <v>49940009.109999962</v>
      </c>
      <c r="T17" s="99">
        <f t="shared" si="0"/>
        <v>0</v>
      </c>
      <c r="U17" s="99">
        <v>825.21999999880791</v>
      </c>
    </row>
    <row r="18" spans="1:21" x14ac:dyDescent="0.2">
      <c r="B18" s="69"/>
      <c r="C18" s="52"/>
      <c r="D18" s="52" t="s">
        <v>21</v>
      </c>
      <c r="E18" s="65">
        <f t="shared" si="1"/>
        <v>17806700.180000007</v>
      </c>
      <c r="F18" s="50">
        <v>2493217.9699999997</v>
      </c>
      <c r="G18" s="50">
        <f>3060293.28+411.899999998509</f>
        <v>3060705.1799999983</v>
      </c>
      <c r="H18" s="50">
        <f>5651796.73-14082.3099999912</f>
        <v>5637714.4200000092</v>
      </c>
      <c r="I18" s="50">
        <v>6615062.6099999994</v>
      </c>
      <c r="P18" s="51"/>
      <c r="Q18" s="99"/>
      <c r="R18" s="51" t="s">
        <v>21</v>
      </c>
      <c r="S18" s="99">
        <v>17806700.180000003</v>
      </c>
      <c r="T18" s="99">
        <f t="shared" si="0"/>
        <v>0</v>
      </c>
      <c r="U18" s="99">
        <v>0</v>
      </c>
    </row>
    <row r="19" spans="1:21" x14ac:dyDescent="0.2">
      <c r="A19" s="52"/>
      <c r="B19" s="49"/>
      <c r="C19" s="52"/>
      <c r="D19" s="52" t="s">
        <v>22</v>
      </c>
      <c r="E19" s="65">
        <f t="shared" si="1"/>
        <v>11191698.000000002</v>
      </c>
      <c r="F19" s="50">
        <f>1964459.35-5472.81999999936</f>
        <v>1958986.5300000007</v>
      </c>
      <c r="G19" s="50">
        <f>2685579.75-17602.1600000029</f>
        <v>2667977.5899999971</v>
      </c>
      <c r="H19" s="50">
        <f>3093989.68-7942.72999999485+1216.96000000089</f>
        <v>3087263.9100000062</v>
      </c>
      <c r="I19" s="50">
        <v>3477469.9699999993</v>
      </c>
      <c r="P19" s="51"/>
      <c r="Q19" s="99"/>
      <c r="R19" s="51" t="s">
        <v>22</v>
      </c>
      <c r="S19" s="99">
        <v>11191698.000000002</v>
      </c>
      <c r="T19" s="99">
        <f t="shared" si="0"/>
        <v>0</v>
      </c>
      <c r="U19" s="99">
        <v>1216.96000000089</v>
      </c>
    </row>
    <row r="20" spans="1:21" x14ac:dyDescent="0.2">
      <c r="A20" s="52"/>
      <c r="B20" s="49"/>
      <c r="C20" s="52"/>
      <c r="D20" s="52" t="s">
        <v>23</v>
      </c>
      <c r="E20" s="65">
        <f t="shared" si="1"/>
        <v>311015.11</v>
      </c>
      <c r="F20" s="50">
        <v>13353.82</v>
      </c>
      <c r="G20" s="50">
        <v>48397.18</v>
      </c>
      <c r="H20" s="50">
        <v>125035.29000000001</v>
      </c>
      <c r="I20" s="50">
        <v>124228.82</v>
      </c>
      <c r="P20" s="51"/>
      <c r="Q20" s="99"/>
      <c r="R20" s="51" t="s">
        <v>23</v>
      </c>
      <c r="S20" s="99">
        <v>311015.11</v>
      </c>
      <c r="T20" s="99">
        <f t="shared" si="0"/>
        <v>0</v>
      </c>
      <c r="U20" s="99">
        <v>0</v>
      </c>
    </row>
    <row r="21" spans="1:21" x14ac:dyDescent="0.2">
      <c r="A21" s="52"/>
      <c r="B21" s="49"/>
      <c r="C21" s="52"/>
      <c r="D21" s="52" t="s">
        <v>29</v>
      </c>
      <c r="E21" s="65">
        <f t="shared" si="1"/>
        <v>4799.2499999999973</v>
      </c>
      <c r="F21" s="50">
        <v>0</v>
      </c>
      <c r="G21" s="50">
        <v>0</v>
      </c>
      <c r="H21" s="50">
        <v>4799.2499999999973</v>
      </c>
      <c r="I21" s="50">
        <v>0</v>
      </c>
      <c r="P21" s="51"/>
      <c r="Q21" s="99"/>
      <c r="R21" s="51" t="s">
        <v>29</v>
      </c>
      <c r="S21" s="99">
        <v>4799.2499999999973</v>
      </c>
      <c r="T21" s="99">
        <f t="shared" si="0"/>
        <v>0</v>
      </c>
      <c r="U21" s="99">
        <v>0</v>
      </c>
    </row>
    <row r="22" spans="1:21" x14ac:dyDescent="0.2">
      <c r="A22" s="52"/>
      <c r="B22" s="49"/>
      <c r="C22" s="52"/>
      <c r="D22" s="52" t="s">
        <v>30</v>
      </c>
      <c r="E22" s="65">
        <f t="shared" si="1"/>
        <v>0</v>
      </c>
      <c r="F22" s="50">
        <v>0</v>
      </c>
      <c r="G22" s="50">
        <v>0</v>
      </c>
      <c r="H22" s="50">
        <v>0</v>
      </c>
      <c r="I22" s="50">
        <v>0</v>
      </c>
      <c r="P22" s="51"/>
      <c r="Q22" s="99"/>
      <c r="R22" s="51" t="s">
        <v>30</v>
      </c>
      <c r="S22" s="99">
        <v>0</v>
      </c>
      <c r="T22" s="99">
        <f t="shared" si="0"/>
        <v>0</v>
      </c>
      <c r="U22" s="99">
        <v>0</v>
      </c>
    </row>
    <row r="23" spans="1:21" x14ac:dyDescent="0.2">
      <c r="A23" s="52"/>
      <c r="B23" s="49"/>
      <c r="C23" s="52"/>
      <c r="D23" s="52" t="s">
        <v>25</v>
      </c>
      <c r="E23" s="65">
        <f t="shared" si="1"/>
        <v>618765.78</v>
      </c>
      <c r="F23" s="50">
        <v>-431234.22</v>
      </c>
      <c r="G23" s="50">
        <v>950000</v>
      </c>
      <c r="H23" s="50">
        <v>0</v>
      </c>
      <c r="I23" s="50">
        <v>100000</v>
      </c>
      <c r="P23" s="51"/>
      <c r="Q23" s="99"/>
      <c r="R23" s="51" t="s">
        <v>25</v>
      </c>
      <c r="S23" s="99">
        <v>618765.78</v>
      </c>
      <c r="T23" s="99">
        <f t="shared" si="0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24</v>
      </c>
      <c r="E24" s="65">
        <f t="shared" si="1"/>
        <v>0</v>
      </c>
      <c r="F24" s="50">
        <v>0</v>
      </c>
      <c r="G24" s="50">
        <v>0</v>
      </c>
      <c r="H24" s="50">
        <v>0</v>
      </c>
      <c r="I24" s="50">
        <v>0</v>
      </c>
      <c r="P24" s="51"/>
      <c r="Q24" s="99"/>
      <c r="R24" s="51" t="s">
        <v>24</v>
      </c>
      <c r="S24" s="99">
        <v>0</v>
      </c>
      <c r="T24" s="99">
        <f t="shared" si="0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55</v>
      </c>
      <c r="E25" s="71">
        <f>SUM(E9:E24)</f>
        <v>348891639.51000029</v>
      </c>
      <c r="F25" s="72">
        <f t="shared" ref="F25:Q25" si="2">SUM(F9:F24)</f>
        <v>30779299.299999937</v>
      </c>
      <c r="G25" s="72">
        <f t="shared" si="2"/>
        <v>51010774.860000715</v>
      </c>
      <c r="H25" s="72">
        <f t="shared" si="2"/>
        <v>123611473.05999944</v>
      </c>
      <c r="I25" s="72">
        <f t="shared" si="2"/>
        <v>143490092.29000017</v>
      </c>
      <c r="J25" s="72">
        <f t="shared" si="2"/>
        <v>0</v>
      </c>
      <c r="K25" s="72">
        <f t="shared" si="2"/>
        <v>0</v>
      </c>
      <c r="L25" s="72">
        <f t="shared" si="2"/>
        <v>0</v>
      </c>
      <c r="M25" s="72">
        <f t="shared" si="2"/>
        <v>0</v>
      </c>
      <c r="N25" s="72">
        <f t="shared" si="2"/>
        <v>0</v>
      </c>
      <c r="O25" s="72">
        <f t="shared" si="2"/>
        <v>0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1.1175870895385742E-7</v>
      </c>
      <c r="U25" s="127">
        <f t="shared" si="3"/>
        <v>8977.1600004061875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$348,891,640</v>
      </c>
      <c r="C29" s="162"/>
      <c r="D29" s="162"/>
      <c r="E29" s="162"/>
      <c r="F29" s="162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/>
      <c r="C31" s="52"/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57</v>
      </c>
      <c r="C39" s="79" t="s">
        <v>58</v>
      </c>
      <c r="D39" s="80" t="s">
        <v>59</v>
      </c>
      <c r="E39" s="81" t="s">
        <v>40</v>
      </c>
      <c r="F39" s="82" t="s">
        <v>41</v>
      </c>
      <c r="G39" s="82" t="s">
        <v>42</v>
      </c>
      <c r="H39" s="82" t="s">
        <v>43</v>
      </c>
      <c r="I39" s="82" t="s">
        <v>44</v>
      </c>
      <c r="J39" s="82" t="s">
        <v>45</v>
      </c>
      <c r="K39" s="82" t="s">
        <v>46</v>
      </c>
      <c r="L39" s="82" t="s">
        <v>47</v>
      </c>
      <c r="M39" s="82" t="s">
        <v>48</v>
      </c>
      <c r="N39" s="82" t="s">
        <v>49</v>
      </c>
      <c r="O39" s="82" t="s">
        <v>50</v>
      </c>
      <c r="P39" s="83" t="s">
        <v>51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920385016.21000004</v>
      </c>
      <c r="C40" s="86">
        <f>SUM(E40:P40)</f>
        <v>466175352.57000005</v>
      </c>
      <c r="D40" s="87">
        <f>C40/B40</f>
        <v>0.50650037143111748</v>
      </c>
      <c r="E40" s="134">
        <v>14053.449999999999</v>
      </c>
      <c r="F40" s="134">
        <v>17695604.080000002</v>
      </c>
      <c r="G40" s="134">
        <f>102724387.24+5159983.95000005</f>
        <v>107884371.19000004</v>
      </c>
      <c r="H40" s="134">
        <v>340581323.85000002</v>
      </c>
      <c r="I40" s="134"/>
      <c r="J40" s="134"/>
      <c r="K40" s="134"/>
      <c r="L40" s="134"/>
      <c r="M40" s="134"/>
      <c r="N40" s="134"/>
      <c r="O40" s="134"/>
      <c r="P40" s="134"/>
      <c r="R40" s="141"/>
      <c r="S40" s="147">
        <v>466175352.56999993</v>
      </c>
      <c r="T40" s="133">
        <f>S40-C40</f>
        <v>0</v>
      </c>
      <c r="U40" s="133">
        <v>0</v>
      </c>
    </row>
    <row r="41" spans="1:21" s="84" customFormat="1" x14ac:dyDescent="0.2">
      <c r="A41" s="84" t="s">
        <v>9</v>
      </c>
      <c r="B41" s="88">
        <v>9000000</v>
      </c>
      <c r="C41" s="89">
        <f>SUM(E41:P41)</f>
        <v>4316417.8500000006</v>
      </c>
      <c r="D41" s="90">
        <f>C41/B41</f>
        <v>0.47960198333333337</v>
      </c>
      <c r="E41" s="135">
        <v>1515669.89</v>
      </c>
      <c r="F41" s="135">
        <v>1137720.8500000001</v>
      </c>
      <c r="G41" s="135">
        <v>857068.02</v>
      </c>
      <c r="H41" s="135">
        <v>805959.09</v>
      </c>
      <c r="I41" s="135"/>
      <c r="J41" s="135"/>
      <c r="K41" s="135"/>
      <c r="L41" s="135"/>
      <c r="M41" s="135"/>
      <c r="N41" s="135"/>
      <c r="O41" s="135"/>
      <c r="P41" s="135"/>
      <c r="R41" s="141"/>
      <c r="S41" s="147">
        <v>4316417.8499999996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524150274.62</v>
      </c>
      <c r="C42" s="89">
        <f>SUM(E42:P42)</f>
        <v>116236434.88</v>
      </c>
      <c r="D42" s="90">
        <f>C42/B42</f>
        <v>0.22176165979168747</v>
      </c>
      <c r="E42" s="135">
        <v>7247206.2800000003</v>
      </c>
      <c r="F42" s="135">
        <v>8095535.3399999999</v>
      </c>
      <c r="G42" s="135">
        <v>50424050</v>
      </c>
      <c r="H42" s="135">
        <v>50469643.259999998</v>
      </c>
      <c r="I42" s="135"/>
      <c r="J42" s="135"/>
      <c r="K42" s="135"/>
      <c r="L42" s="135"/>
      <c r="M42" s="135"/>
      <c r="N42" s="135"/>
      <c r="O42" s="135"/>
      <c r="P42" s="135"/>
      <c r="R42" s="141"/>
      <c r="S42" s="147">
        <v>116236434.88000001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1433772</v>
      </c>
      <c r="C43" s="89">
        <f>SUM(E43:P43)</f>
        <v>77749.820000000007</v>
      </c>
      <c r="D43" s="92">
        <f>C43/B43</f>
        <v>5.422746433882096E-2</v>
      </c>
      <c r="E43" s="136">
        <v>-3178.04</v>
      </c>
      <c r="F43" s="136">
        <v>18280.689999999999</v>
      </c>
      <c r="G43" s="136">
        <v>59356.54</v>
      </c>
      <c r="H43" s="136">
        <v>3290.63</v>
      </c>
      <c r="I43" s="136"/>
      <c r="J43" s="136"/>
      <c r="K43" s="136"/>
      <c r="L43" s="136"/>
      <c r="M43" s="136"/>
      <c r="N43" s="136"/>
      <c r="O43" s="136"/>
      <c r="P43" s="136"/>
      <c r="R43" s="142"/>
      <c r="S43" s="147">
        <v>77749.820000000007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1454969062.8299999</v>
      </c>
      <c r="C44" s="95">
        <f>SUM(C40:C43)</f>
        <v>586805955.12000012</v>
      </c>
      <c r="D44" s="96">
        <f>C44/B44</f>
        <v>0.40331163741628173</v>
      </c>
      <c r="E44" s="97">
        <f>SUM(E40:E43)</f>
        <v>8773751.5800000019</v>
      </c>
      <c r="F44" s="98">
        <f t="shared" ref="F44:P44" si="5">SUM(F40:F43)</f>
        <v>26947140.960000005</v>
      </c>
      <c r="G44" s="98">
        <f t="shared" si="5"/>
        <v>159224845.75000003</v>
      </c>
      <c r="H44" s="98">
        <f t="shared" si="5"/>
        <v>391860216.82999998</v>
      </c>
      <c r="I44" s="98">
        <f t="shared" si="5"/>
        <v>0</v>
      </c>
      <c r="J44" s="98">
        <f t="shared" si="5"/>
        <v>0</v>
      </c>
      <c r="K44" s="98">
        <f t="shared" si="5"/>
        <v>0</v>
      </c>
      <c r="L44" s="98">
        <f t="shared" si="5"/>
        <v>0</v>
      </c>
      <c r="M44" s="98">
        <f t="shared" si="5"/>
        <v>0</v>
      </c>
      <c r="N44" s="98">
        <f t="shared" si="5"/>
        <v>0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60</v>
      </c>
      <c r="B46" s="101">
        <f>+B40+B41+B43</f>
        <v>930818788.21000004</v>
      </c>
      <c r="C46" s="86">
        <f>+C40+C41+C43</f>
        <v>470569520.24000007</v>
      </c>
      <c r="D46" s="102">
        <f>C46/B46</f>
        <v>0.5055436420067575</v>
      </c>
      <c r="E46" s="103">
        <f>+E40+E41+E43</f>
        <v>1526545.2999999998</v>
      </c>
      <c r="F46" s="103">
        <f t="shared" ref="F46:P46" si="6">+F40+F41+F43</f>
        <v>18851605.620000005</v>
      </c>
      <c r="G46" s="103">
        <f t="shared" si="6"/>
        <v>108800795.75000004</v>
      </c>
      <c r="H46" s="103">
        <f t="shared" si="6"/>
        <v>341390573.56999999</v>
      </c>
      <c r="I46" s="103">
        <f t="shared" si="6"/>
        <v>0</v>
      </c>
      <c r="J46" s="103">
        <f t="shared" si="6"/>
        <v>0</v>
      </c>
      <c r="K46" s="103">
        <f t="shared" si="6"/>
        <v>0</v>
      </c>
      <c r="L46" s="103">
        <f t="shared" si="6"/>
        <v>0</v>
      </c>
      <c r="M46" s="103">
        <f t="shared" si="6"/>
        <v>0</v>
      </c>
      <c r="N46" s="103">
        <f t="shared" si="6"/>
        <v>0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61</v>
      </c>
      <c r="B47" s="104">
        <f>B42</f>
        <v>524150274.62</v>
      </c>
      <c r="C47" s="105">
        <f>C71</f>
        <v>116236434.88</v>
      </c>
      <c r="D47" s="106">
        <f>C47/B47</f>
        <v>0.22176165979168747</v>
      </c>
      <c r="E47" s="107">
        <f>E42</f>
        <v>7247206.2800000003</v>
      </c>
      <c r="F47" s="107">
        <f t="shared" ref="F47:P47" si="7">F42</f>
        <v>8095535.3399999999</v>
      </c>
      <c r="G47" s="107">
        <f t="shared" si="7"/>
        <v>50424050</v>
      </c>
      <c r="H47" s="107">
        <f t="shared" si="7"/>
        <v>50469643.259999998</v>
      </c>
      <c r="I47" s="107">
        <f t="shared" si="7"/>
        <v>0</v>
      </c>
      <c r="J47" s="107">
        <f t="shared" si="7"/>
        <v>0</v>
      </c>
      <c r="K47" s="107">
        <f t="shared" si="7"/>
        <v>0</v>
      </c>
      <c r="L47" s="107">
        <f t="shared" si="7"/>
        <v>0</v>
      </c>
      <c r="M47" s="107">
        <f t="shared" si="7"/>
        <v>0</v>
      </c>
      <c r="N47" s="107">
        <f t="shared" si="7"/>
        <v>0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1454969062.8299999</v>
      </c>
      <c r="C48" s="108">
        <f>SUM(E48:P48)</f>
        <v>586805955.12000012</v>
      </c>
      <c r="D48" s="109">
        <f>C48/B48</f>
        <v>0.40331163741628173</v>
      </c>
      <c r="E48" s="110">
        <f>+E46+E47</f>
        <v>8773751.5800000001</v>
      </c>
      <c r="F48" s="111">
        <f t="shared" ref="F48:P48" si="8">+F46+F47</f>
        <v>26947140.960000005</v>
      </c>
      <c r="G48" s="111">
        <f t="shared" si="8"/>
        <v>159224845.75000006</v>
      </c>
      <c r="H48" s="111">
        <f t="shared" si="8"/>
        <v>391860216.82999998</v>
      </c>
      <c r="I48" s="111">
        <f t="shared" si="8"/>
        <v>0</v>
      </c>
      <c r="J48" s="111">
        <f t="shared" si="8"/>
        <v>0</v>
      </c>
      <c r="K48" s="111">
        <f t="shared" si="8"/>
        <v>0</v>
      </c>
      <c r="L48" s="111">
        <f t="shared" si="8"/>
        <v>0</v>
      </c>
      <c r="M48" s="111">
        <f t="shared" si="8"/>
        <v>0</v>
      </c>
      <c r="N48" s="111">
        <f t="shared" si="8"/>
        <v>0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62</v>
      </c>
      <c r="D50" s="156"/>
      <c r="E50" s="113" t="s">
        <v>40</v>
      </c>
      <c r="F50" s="114" t="s">
        <v>41</v>
      </c>
      <c r="G50" s="114" t="s">
        <v>42</v>
      </c>
      <c r="H50" s="114" t="s">
        <v>43</v>
      </c>
      <c r="I50" s="114" t="s">
        <v>44</v>
      </c>
      <c r="J50" s="114" t="s">
        <v>45</v>
      </c>
      <c r="K50" s="114" t="s">
        <v>46</v>
      </c>
      <c r="L50" s="114" t="s">
        <v>47</v>
      </c>
      <c r="M50" s="114" t="s">
        <v>48</v>
      </c>
      <c r="N50" s="114" t="s">
        <v>49</v>
      </c>
      <c r="O50" s="114" t="s">
        <v>50</v>
      </c>
      <c r="P50" s="54" t="s">
        <v>51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60</v>
      </c>
      <c r="D51" s="51"/>
      <c r="E51" s="50">
        <f>E46</f>
        <v>1526545.2999999998</v>
      </c>
      <c r="F51" s="50">
        <f>E51+F46</f>
        <v>20378150.920000006</v>
      </c>
      <c r="G51" s="50">
        <f t="shared" ref="G51:P52" si="9">F51+G46</f>
        <v>129178946.67000005</v>
      </c>
      <c r="H51" s="50">
        <f t="shared" si="9"/>
        <v>470569520.24000001</v>
      </c>
      <c r="I51" s="50">
        <f t="shared" si="9"/>
        <v>470569520.24000001</v>
      </c>
      <c r="J51" s="50">
        <f t="shared" si="9"/>
        <v>470569520.24000001</v>
      </c>
      <c r="K51" s="50">
        <f t="shared" si="9"/>
        <v>470569520.24000001</v>
      </c>
      <c r="L51" s="50">
        <f t="shared" si="9"/>
        <v>470569520.24000001</v>
      </c>
      <c r="M51" s="50">
        <f t="shared" si="9"/>
        <v>470569520.24000001</v>
      </c>
      <c r="N51" s="50">
        <f t="shared" si="9"/>
        <v>470569520.24000001</v>
      </c>
      <c r="O51" s="50">
        <f t="shared" si="9"/>
        <v>470569520.24000001</v>
      </c>
      <c r="P51" s="50">
        <f t="shared" si="9"/>
        <v>470569520.24000001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61</v>
      </c>
      <c r="D52" s="51"/>
      <c r="E52" s="50">
        <f>E47</f>
        <v>7247206.2800000003</v>
      </c>
      <c r="F52" s="50">
        <f>E52+F47</f>
        <v>15342741.620000001</v>
      </c>
      <c r="G52" s="50">
        <f t="shared" si="9"/>
        <v>65766791.620000005</v>
      </c>
      <c r="H52" s="50">
        <f t="shared" si="9"/>
        <v>116236434.88</v>
      </c>
      <c r="I52" s="50">
        <f t="shared" si="9"/>
        <v>116236434.88</v>
      </c>
      <c r="J52" s="50">
        <f t="shared" si="9"/>
        <v>116236434.88</v>
      </c>
      <c r="K52" s="50">
        <f t="shared" si="9"/>
        <v>116236434.88</v>
      </c>
      <c r="L52" s="50">
        <f t="shared" si="9"/>
        <v>116236434.88</v>
      </c>
      <c r="M52" s="50">
        <f t="shared" si="9"/>
        <v>116236434.88</v>
      </c>
      <c r="N52" s="50">
        <f t="shared" si="9"/>
        <v>116236434.88</v>
      </c>
      <c r="O52" s="50">
        <f t="shared" si="9"/>
        <v>116236434.88</v>
      </c>
      <c r="P52" s="50">
        <f t="shared" si="9"/>
        <v>116236434.88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63</v>
      </c>
      <c r="D53" s="51"/>
      <c r="E53" s="117">
        <f>+E51+E52</f>
        <v>8773751.5800000001</v>
      </c>
      <c r="F53" s="117">
        <f t="shared" ref="F53:P53" si="10">+F51+F52</f>
        <v>35720892.540000007</v>
      </c>
      <c r="G53" s="117">
        <f t="shared" si="10"/>
        <v>194945738.29000005</v>
      </c>
      <c r="H53" s="117">
        <f t="shared" si="10"/>
        <v>586805955.12</v>
      </c>
      <c r="I53" s="117">
        <f t="shared" si="10"/>
        <v>586805955.12</v>
      </c>
      <c r="J53" s="117">
        <f t="shared" si="10"/>
        <v>586805955.12</v>
      </c>
      <c r="K53" s="117">
        <f t="shared" si="10"/>
        <v>586805955.12</v>
      </c>
      <c r="L53" s="117">
        <f t="shared" si="10"/>
        <v>586805955.12</v>
      </c>
      <c r="M53" s="117">
        <f t="shared" si="10"/>
        <v>586805955.12</v>
      </c>
      <c r="N53" s="117">
        <f t="shared" si="10"/>
        <v>586805955.12</v>
      </c>
      <c r="O53" s="117">
        <f t="shared" si="10"/>
        <v>586805955.12</v>
      </c>
      <c r="P53" s="117">
        <f t="shared" si="10"/>
        <v>586805955.12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$470,569,520  50.55%
(STATE)  Budgeted: $524,150,275  Actual: $116,236,435   22.18%
TOTAL Budgeted: $1,454,969,063  Actual: $586,805,955   40.33%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$524,150,275	Actual: $116,236,435   22.18%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$1,454,969,063	Actual: $586,805,955   40.33%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32</v>
      </c>
      <c r="B60" s="122" t="s">
        <v>33</v>
      </c>
      <c r="P60" s="51"/>
      <c r="Q60" s="51"/>
      <c r="R60" s="51"/>
    </row>
    <row r="61" spans="1:21" s="99" customFormat="1" x14ac:dyDescent="0.2">
      <c r="A61" s="123" t="s">
        <v>8</v>
      </c>
      <c r="B61" s="124">
        <v>920385016.21000004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524150274.62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1433772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64</v>
      </c>
      <c r="B65" s="128">
        <f>SUM(B61:B64)</f>
        <v>1454969062.8299999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66</v>
      </c>
      <c r="C68" s="129" t="s">
        <v>65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920385016.21000004</v>
      </c>
      <c r="C69" s="50">
        <v>466175352.57000005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9000000</v>
      </c>
      <c r="C70" s="50">
        <v>4316417.8500000006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524150274.62</v>
      </c>
      <c r="C71" s="50">
        <v>116236434.88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1433772</v>
      </c>
      <c r="C72" s="50">
        <v>77749.820000000007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2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2" x14ac:dyDescent="0.25">
      <c r="A4" s="153">
        <v>45230</v>
      </c>
      <c r="B4" s="153"/>
      <c r="C4" s="153"/>
      <c r="D4" s="153"/>
      <c r="E4" s="153"/>
      <c r="F4" s="153"/>
      <c r="G4" s="153"/>
      <c r="H4" s="153"/>
      <c r="I4" s="153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2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</row>
    <row r="8" spans="1:22" s="5" customFormat="1" x14ac:dyDescent="0.2">
      <c r="A8" s="6" t="s">
        <v>8</v>
      </c>
      <c r="B8" s="7">
        <v>10803385.550000001</v>
      </c>
      <c r="C8" s="7">
        <v>10808906.58</v>
      </c>
      <c r="D8" s="7">
        <v>3556495.67</v>
      </c>
      <c r="E8" s="7">
        <v>9832939.5099999961</v>
      </c>
      <c r="F8" s="7">
        <v>0</v>
      </c>
      <c r="G8" s="7">
        <f t="shared" ref="G8:G12" si="0">SUM(E8:F8)</f>
        <v>9832939.5099999961</v>
      </c>
      <c r="H8" s="7">
        <f t="shared" ref="H8:H12" si="1">C8-G8</f>
        <v>975967.07000000402</v>
      </c>
      <c r="I8" s="16">
        <f>IF(C8=0,"",H8/C8)</f>
        <v>9.0292858280953334E-2</v>
      </c>
      <c r="K8"/>
      <c r="L8" s="148"/>
      <c r="M8" s="148"/>
      <c r="N8" s="148"/>
      <c r="O8" s="148"/>
      <c r="P8" s="148"/>
      <c r="R8" s="138"/>
      <c r="S8" s="138"/>
      <c r="T8" s="138"/>
      <c r="U8" s="138"/>
      <c r="V8" s="138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1364.56</v>
      </c>
      <c r="E9" s="7">
        <v>5313.83</v>
      </c>
      <c r="F9" s="7">
        <v>0</v>
      </c>
      <c r="G9" s="7">
        <f t="shared" si="0"/>
        <v>5313.83</v>
      </c>
      <c r="H9" s="7">
        <f t="shared" si="1"/>
        <v>-5313.83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  <c r="R9" s="138"/>
      <c r="S9" s="138"/>
      <c r="T9" s="138"/>
      <c r="U9" s="138"/>
      <c r="V9" s="138"/>
    </row>
    <row r="10" spans="1:22" s="5" customFormat="1" x14ac:dyDescent="0.2">
      <c r="A10" s="6" t="s">
        <v>10</v>
      </c>
      <c r="B10" s="7">
        <v>15023396</v>
      </c>
      <c r="C10" s="7">
        <v>15341537</v>
      </c>
      <c r="D10" s="7">
        <v>1470072.84</v>
      </c>
      <c r="E10" s="7">
        <v>5167928.6199999992</v>
      </c>
      <c r="F10" s="7">
        <v>0</v>
      </c>
      <c r="G10" s="7">
        <f t="shared" si="0"/>
        <v>5167928.6199999992</v>
      </c>
      <c r="H10" s="7">
        <f t="shared" si="1"/>
        <v>10173608.380000001</v>
      </c>
      <c r="I10" s="16">
        <f t="shared" si="2"/>
        <v>0.66314140362859342</v>
      </c>
      <c r="K10"/>
      <c r="L10" s="148"/>
      <c r="M10" s="148"/>
      <c r="N10" s="148"/>
      <c r="O10" s="148"/>
      <c r="P10" s="148"/>
      <c r="R10" s="138"/>
      <c r="S10" s="138"/>
      <c r="T10" s="138"/>
      <c r="U10" s="138"/>
      <c r="V10" s="138"/>
    </row>
    <row r="11" spans="1:22" s="5" customFormat="1" x14ac:dyDescent="0.2">
      <c r="A11" s="6" t="s">
        <v>74</v>
      </c>
      <c r="B11" s="7">
        <v>432812557.76999998</v>
      </c>
      <c r="C11" s="7">
        <v>639470770.76999998</v>
      </c>
      <c r="D11" s="7">
        <v>358491.19999999995</v>
      </c>
      <c r="E11" s="7">
        <v>48520426.890000001</v>
      </c>
      <c r="F11" s="7">
        <v>0</v>
      </c>
      <c r="G11" s="7">
        <f t="shared" si="0"/>
        <v>48520426.890000001</v>
      </c>
      <c r="H11" s="7">
        <f t="shared" si="1"/>
        <v>590950343.88</v>
      </c>
      <c r="I11" s="16">
        <f t="shared" si="2"/>
        <v>0.92412408962558912</v>
      </c>
      <c r="K11"/>
      <c r="L11" s="148"/>
      <c r="M11" s="148"/>
      <c r="N11" s="148"/>
      <c r="O11" s="148"/>
      <c r="P11" s="148"/>
      <c r="R11" s="138"/>
      <c r="S11" s="138"/>
      <c r="T11" s="138"/>
      <c r="U11" s="138"/>
      <c r="V11" s="138"/>
    </row>
    <row r="12" spans="1:22" s="5" customFormat="1" x14ac:dyDescent="0.2">
      <c r="A12" s="8" t="s">
        <v>11</v>
      </c>
      <c r="B12" s="7">
        <v>4998766</v>
      </c>
      <c r="C12" s="7">
        <v>4998766</v>
      </c>
      <c r="D12" s="7">
        <v>139406.73000000001</v>
      </c>
      <c r="E12" s="7">
        <v>700909.70000000007</v>
      </c>
      <c r="F12" s="7">
        <v>0</v>
      </c>
      <c r="G12" s="7">
        <f t="shared" si="0"/>
        <v>700909.70000000007</v>
      </c>
      <c r="H12" s="7">
        <f t="shared" si="1"/>
        <v>4297856.3</v>
      </c>
      <c r="I12" s="16">
        <f t="shared" si="2"/>
        <v>0.85978345455658456</v>
      </c>
      <c r="K12" s="148"/>
      <c r="L12" s="148"/>
      <c r="M12" s="148"/>
      <c r="N12" s="148"/>
      <c r="O12" s="148"/>
      <c r="P12" s="148"/>
      <c r="R12" s="138"/>
      <c r="S12" s="138"/>
      <c r="T12" s="138"/>
      <c r="U12" s="138"/>
      <c r="V12" s="138"/>
    </row>
    <row r="13" spans="1:22" s="5" customFormat="1" ht="24.95" customHeight="1" x14ac:dyDescent="0.25">
      <c r="A13" s="10" t="s">
        <v>12</v>
      </c>
      <c r="B13" s="11">
        <f>SUM(B8:B12)</f>
        <v>463638105.31999999</v>
      </c>
      <c r="C13" s="11">
        <f t="shared" ref="C13:H13" si="3">SUM(C8:C12)</f>
        <v>670619980.35000002</v>
      </c>
      <c r="D13" s="11">
        <f t="shared" si="3"/>
        <v>5525831.0000000009</v>
      </c>
      <c r="E13" s="11">
        <f t="shared" si="3"/>
        <v>64227518.549999997</v>
      </c>
      <c r="F13" s="11">
        <f t="shared" si="3"/>
        <v>0</v>
      </c>
      <c r="G13" s="11">
        <f t="shared" si="3"/>
        <v>64227518.549999997</v>
      </c>
      <c r="H13" s="11">
        <f t="shared" si="3"/>
        <v>606392461.79999995</v>
      </c>
      <c r="I13" s="36">
        <f>IF(C13=0,"",H13/C13)</f>
        <v>0.90422665528623325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8">
        <v>135750514.75000006</v>
      </c>
      <c r="C14" s="138">
        <v>239321334.62999958</v>
      </c>
      <c r="D14" s="138">
        <v>21662758.829999942</v>
      </c>
      <c r="E14" s="138">
        <v>47795116.859999985</v>
      </c>
      <c r="F14" s="138">
        <v>5281655.150000005</v>
      </c>
      <c r="G14" s="13">
        <f t="shared" ref="G14:G31" si="4">SUM(E14:F14)</f>
        <v>53076772.00999999</v>
      </c>
      <c r="H14" s="13">
        <f t="shared" ref="H14:H31" si="5">C14-G14</f>
        <v>186244562.61999959</v>
      </c>
      <c r="I14" s="26">
        <f t="shared" ref="I14:I31" si="6">IF(C14=0,"",H14/C14)</f>
        <v>0.77821963891326773</v>
      </c>
      <c r="L14" s="138"/>
      <c r="M14" s="138"/>
      <c r="N14" s="138"/>
      <c r="O14" s="138"/>
      <c r="P14" s="138"/>
      <c r="R14" s="138"/>
      <c r="S14" s="138"/>
      <c r="T14" s="138"/>
      <c r="U14" s="138"/>
      <c r="V14" s="138"/>
    </row>
    <row r="15" spans="1:22" s="5" customFormat="1" x14ac:dyDescent="0.2">
      <c r="A15" s="6" t="s">
        <v>14</v>
      </c>
      <c r="B15" s="138">
        <v>42434981.650000021</v>
      </c>
      <c r="C15" s="138">
        <v>49440964.160000004</v>
      </c>
      <c r="D15" s="138">
        <v>3110277.9300000006</v>
      </c>
      <c r="E15" s="138">
        <v>8163967.2599999923</v>
      </c>
      <c r="F15" s="138">
        <v>218258.3</v>
      </c>
      <c r="G15" s="7">
        <f t="shared" si="4"/>
        <v>8382225.5599999921</v>
      </c>
      <c r="H15" s="7">
        <f t="shared" si="5"/>
        <v>41058738.600000009</v>
      </c>
      <c r="I15" s="16">
        <f t="shared" si="6"/>
        <v>0.83045990905691924</v>
      </c>
      <c r="L15" s="138"/>
      <c r="M15" s="138"/>
      <c r="N15" s="138"/>
      <c r="O15" s="138"/>
      <c r="P15" s="138"/>
      <c r="R15" s="138"/>
      <c r="S15" s="138"/>
      <c r="T15" s="138"/>
      <c r="U15" s="138"/>
      <c r="V15" s="138"/>
    </row>
    <row r="16" spans="1:22" s="5" customFormat="1" x14ac:dyDescent="0.2">
      <c r="A16" s="6" t="s">
        <v>15</v>
      </c>
      <c r="B16" s="138">
        <v>28598359.38000001</v>
      </c>
      <c r="C16" s="138">
        <v>5421222.0499999998</v>
      </c>
      <c r="D16" s="138">
        <v>94903.460000000021</v>
      </c>
      <c r="E16" s="138">
        <v>617854.07000000007</v>
      </c>
      <c r="F16" s="138">
        <v>84194.220000000016</v>
      </c>
      <c r="G16" s="7">
        <f t="shared" si="4"/>
        <v>702048.29</v>
      </c>
      <c r="H16" s="7">
        <f t="shared" si="5"/>
        <v>4719173.76</v>
      </c>
      <c r="I16" s="16">
        <f t="shared" si="6"/>
        <v>0.87049999363150965</v>
      </c>
      <c r="L16" s="138"/>
      <c r="M16" s="138"/>
      <c r="N16" s="138"/>
      <c r="O16" s="138"/>
      <c r="P16" s="138"/>
      <c r="R16" s="138"/>
      <c r="S16" s="138"/>
      <c r="T16" s="138"/>
      <c r="U16" s="138"/>
      <c r="V16" s="138"/>
    </row>
    <row r="17" spans="1:22" s="5" customFormat="1" x14ac:dyDescent="0.2">
      <c r="A17" s="6" t="s">
        <v>16</v>
      </c>
      <c r="B17" s="138">
        <v>51047170.170000039</v>
      </c>
      <c r="C17" s="138">
        <v>47912916.839999996</v>
      </c>
      <c r="D17" s="138">
        <v>1723326.89</v>
      </c>
      <c r="E17" s="138">
        <v>5867674.9800000014</v>
      </c>
      <c r="F17" s="138">
        <v>211385.31</v>
      </c>
      <c r="G17" s="7">
        <f t="shared" si="4"/>
        <v>6079060.290000001</v>
      </c>
      <c r="H17" s="7">
        <f t="shared" si="5"/>
        <v>41833856.549999997</v>
      </c>
      <c r="I17" s="16">
        <f t="shared" si="6"/>
        <v>0.87312272575054528</v>
      </c>
      <c r="L17" s="138"/>
      <c r="M17" s="138"/>
      <c r="N17" s="138"/>
      <c r="O17" s="138"/>
      <c r="P17" s="138"/>
      <c r="R17" s="138"/>
      <c r="S17" s="138"/>
      <c r="T17" s="138"/>
      <c r="U17" s="138"/>
      <c r="V17" s="138"/>
    </row>
    <row r="18" spans="1:22" s="5" customFormat="1" x14ac:dyDescent="0.2">
      <c r="A18" s="6" t="s">
        <v>17</v>
      </c>
      <c r="B18" s="138">
        <v>2893575</v>
      </c>
      <c r="C18" s="138">
        <v>3125766</v>
      </c>
      <c r="D18" s="138">
        <v>8528.74</v>
      </c>
      <c r="E18" s="138">
        <v>268617.38</v>
      </c>
      <c r="F18" s="138">
        <v>16534.329999999998</v>
      </c>
      <c r="G18" s="7">
        <f t="shared" si="4"/>
        <v>285151.71000000002</v>
      </c>
      <c r="H18" s="7">
        <f t="shared" si="5"/>
        <v>2840614.29</v>
      </c>
      <c r="I18" s="16">
        <f t="shared" si="6"/>
        <v>0.90877381416267244</v>
      </c>
      <c r="L18" s="138"/>
      <c r="M18" s="138"/>
      <c r="N18" s="138"/>
      <c r="O18" s="138"/>
      <c r="P18" s="138"/>
      <c r="R18" s="138"/>
      <c r="S18" s="138"/>
      <c r="T18" s="138"/>
      <c r="U18" s="138"/>
      <c r="V18" s="138"/>
    </row>
    <row r="19" spans="1:22" s="5" customFormat="1" x14ac:dyDescent="0.2">
      <c r="A19" s="6" t="s">
        <v>71</v>
      </c>
      <c r="B19" s="138">
        <v>3520157.4299999997</v>
      </c>
      <c r="C19" s="138">
        <v>12458279.229999997</v>
      </c>
      <c r="D19" s="138">
        <v>388616.13999999984</v>
      </c>
      <c r="E19" s="138">
        <v>1579632.1700000004</v>
      </c>
      <c r="F19" s="138">
        <v>120049.30999999998</v>
      </c>
      <c r="G19" s="7">
        <f>SUM(E19:F19)</f>
        <v>1699681.4800000004</v>
      </c>
      <c r="H19" s="7">
        <f>C19-G19</f>
        <v>10758597.749999996</v>
      </c>
      <c r="I19" s="16">
        <f>IF(C19=0,"",H19/C19)</f>
        <v>0.86357012484460094</v>
      </c>
      <c r="L19" s="138"/>
      <c r="M19" s="138"/>
      <c r="N19" s="138"/>
      <c r="O19" s="138"/>
      <c r="P19" s="138"/>
      <c r="R19" s="138"/>
      <c r="S19" s="138"/>
      <c r="T19" s="138"/>
      <c r="U19" s="138"/>
      <c r="V19" s="138"/>
    </row>
    <row r="20" spans="1:22" s="5" customFormat="1" x14ac:dyDescent="0.2">
      <c r="A20" s="6" t="s">
        <v>18</v>
      </c>
      <c r="B20" s="138">
        <v>52346285.68</v>
      </c>
      <c r="C20" s="138">
        <v>50295736.88000001</v>
      </c>
      <c r="D20" s="138">
        <v>142808.79</v>
      </c>
      <c r="E20" s="138">
        <v>5123171.7</v>
      </c>
      <c r="F20" s="138">
        <v>2362.2900000000004</v>
      </c>
      <c r="G20" s="7">
        <f t="shared" si="4"/>
        <v>5125533.99</v>
      </c>
      <c r="H20" s="7">
        <f t="shared" si="5"/>
        <v>45170202.890000008</v>
      </c>
      <c r="I20" s="16">
        <f t="shared" si="6"/>
        <v>0.89809207881318154</v>
      </c>
      <c r="L20" s="138"/>
      <c r="M20" s="138"/>
      <c r="N20" s="138"/>
      <c r="O20" s="138"/>
      <c r="P20" s="138"/>
      <c r="R20" s="138"/>
      <c r="S20" s="138"/>
      <c r="T20" s="138"/>
      <c r="U20" s="138"/>
      <c r="V20" s="138"/>
    </row>
    <row r="21" spans="1:22" s="5" customFormat="1" x14ac:dyDescent="0.2">
      <c r="A21" s="6" t="s">
        <v>19</v>
      </c>
      <c r="B21" s="138">
        <v>27958822.82</v>
      </c>
      <c r="C21" s="138">
        <v>6395935.2799999984</v>
      </c>
      <c r="D21" s="138">
        <v>45734.95</v>
      </c>
      <c r="E21" s="138">
        <v>1706620.0699999998</v>
      </c>
      <c r="F21" s="138">
        <v>0</v>
      </c>
      <c r="G21" s="7">
        <f t="shared" si="4"/>
        <v>1706620.0699999998</v>
      </c>
      <c r="H21" s="7">
        <f t="shared" si="5"/>
        <v>4689315.209999999</v>
      </c>
      <c r="I21" s="16">
        <f t="shared" si="6"/>
        <v>0.73317114772305825</v>
      </c>
      <c r="L21" s="138"/>
      <c r="M21" s="138"/>
      <c r="N21" s="138"/>
      <c r="O21" s="138"/>
      <c r="P21" s="138"/>
      <c r="R21" s="138"/>
      <c r="S21" s="138"/>
      <c r="T21" s="138"/>
      <c r="U21" s="138"/>
      <c r="V21" s="138"/>
    </row>
    <row r="22" spans="1:22" s="5" customFormat="1" x14ac:dyDescent="0.2">
      <c r="A22" s="6" t="s">
        <v>20</v>
      </c>
      <c r="B22" s="138">
        <v>26102645</v>
      </c>
      <c r="C22" s="138">
        <v>272506.05</v>
      </c>
      <c r="D22" s="138">
        <v>46911.839999999997</v>
      </c>
      <c r="E22" s="138">
        <v>245436.82</v>
      </c>
      <c r="F22" s="138">
        <v>0</v>
      </c>
      <c r="G22" s="7">
        <f t="shared" si="4"/>
        <v>245436.82</v>
      </c>
      <c r="H22" s="7">
        <f t="shared" si="5"/>
        <v>27069.229999999981</v>
      </c>
      <c r="I22" s="16">
        <f t="shared" si="6"/>
        <v>9.9334418446856435E-2</v>
      </c>
      <c r="L22" s="138"/>
      <c r="M22" s="138"/>
      <c r="N22" s="138"/>
      <c r="O22" s="138"/>
      <c r="P22" s="138"/>
      <c r="R22" s="138"/>
      <c r="S22" s="138"/>
      <c r="T22" s="138"/>
      <c r="U22" s="138"/>
      <c r="V22" s="138"/>
    </row>
    <row r="23" spans="1:22" s="5" customFormat="1" x14ac:dyDescent="0.2">
      <c r="A23" s="6" t="s">
        <v>70</v>
      </c>
      <c r="B23" s="138">
        <v>75201356.919999987</v>
      </c>
      <c r="C23" s="138">
        <v>57098288.920000017</v>
      </c>
      <c r="D23" s="138">
        <v>43587.85</v>
      </c>
      <c r="E23" s="138">
        <v>2398024.6300000004</v>
      </c>
      <c r="F23" s="138">
        <v>1828873.7899999998</v>
      </c>
      <c r="G23" s="7">
        <f t="shared" si="4"/>
        <v>4226898.42</v>
      </c>
      <c r="H23" s="7">
        <f t="shared" si="5"/>
        <v>52871390.500000015</v>
      </c>
      <c r="I23" s="16">
        <f t="shared" si="6"/>
        <v>0.92597153960388767</v>
      </c>
      <c r="L23" s="138"/>
      <c r="M23" s="138"/>
      <c r="N23" s="138"/>
      <c r="O23" s="138"/>
      <c r="P23" s="138"/>
      <c r="R23" s="138"/>
      <c r="S23" s="138"/>
      <c r="T23" s="138"/>
      <c r="U23" s="138"/>
      <c r="V23" s="138"/>
    </row>
    <row r="24" spans="1:22" s="5" customFormat="1" x14ac:dyDescent="0.2">
      <c r="A24" s="6" t="s">
        <v>21</v>
      </c>
      <c r="B24" s="138">
        <v>27712642.510000002</v>
      </c>
      <c r="C24" s="138">
        <v>26162680.670000002</v>
      </c>
      <c r="D24" s="138">
        <v>171726.04</v>
      </c>
      <c r="E24" s="138">
        <v>2233476.1000000006</v>
      </c>
      <c r="F24" s="138">
        <v>4675777.03</v>
      </c>
      <c r="G24" s="7">
        <f t="shared" si="4"/>
        <v>6909253.1300000008</v>
      </c>
      <c r="H24" s="7">
        <f t="shared" si="5"/>
        <v>19253427.539999999</v>
      </c>
      <c r="I24" s="16">
        <f t="shared" si="6"/>
        <v>0.73591188085238357</v>
      </c>
      <c r="L24" s="138"/>
      <c r="M24" s="138"/>
      <c r="N24" s="138"/>
      <c r="O24" s="138"/>
      <c r="P24" s="138"/>
      <c r="R24" s="138"/>
      <c r="S24" s="138"/>
      <c r="T24" s="138"/>
      <c r="U24" s="138"/>
      <c r="V24" s="138"/>
    </row>
    <row r="25" spans="1:22" s="5" customFormat="1" x14ac:dyDescent="0.2">
      <c r="A25" s="6" t="s">
        <v>22</v>
      </c>
      <c r="B25" s="138">
        <v>80968863.539999992</v>
      </c>
      <c r="C25" s="138">
        <v>5447181.1900000004</v>
      </c>
      <c r="D25" s="138">
        <v>16135.539999999999</v>
      </c>
      <c r="E25" s="138">
        <v>513596.20000000013</v>
      </c>
      <c r="F25" s="138">
        <v>10944.76</v>
      </c>
      <c r="G25" s="7">
        <f t="shared" si="4"/>
        <v>524540.96000000008</v>
      </c>
      <c r="H25" s="7">
        <f t="shared" si="5"/>
        <v>4922640.2300000004</v>
      </c>
      <c r="I25" s="16">
        <f t="shared" si="6"/>
        <v>0.90370414684149691</v>
      </c>
      <c r="L25" s="138"/>
      <c r="M25" s="138"/>
      <c r="N25" s="138"/>
      <c r="O25" s="138"/>
      <c r="P25" s="138"/>
      <c r="R25" s="138"/>
      <c r="S25" s="138"/>
      <c r="T25" s="138"/>
      <c r="U25" s="138"/>
      <c r="V25" s="138"/>
    </row>
    <row r="26" spans="1:22" s="5" customFormat="1" x14ac:dyDescent="0.2">
      <c r="A26" s="6" t="s">
        <v>23</v>
      </c>
      <c r="B26" s="138">
        <v>6500</v>
      </c>
      <c r="C26" s="138">
        <v>2297984.3500000006</v>
      </c>
      <c r="D26" s="138">
        <v>27832.929999999997</v>
      </c>
      <c r="E26" s="138">
        <v>114334.76</v>
      </c>
      <c r="F26" s="138">
        <v>45</v>
      </c>
      <c r="G26" s="7">
        <f t="shared" si="4"/>
        <v>114379.76</v>
      </c>
      <c r="H26" s="7">
        <f t="shared" si="5"/>
        <v>2183604.5900000008</v>
      </c>
      <c r="I26" s="16">
        <f t="shared" si="6"/>
        <v>0.95022604918958664</v>
      </c>
      <c r="L26" s="138"/>
      <c r="M26" s="138"/>
      <c r="N26" s="138"/>
      <c r="O26" s="138"/>
      <c r="P26" s="138"/>
      <c r="R26" s="138"/>
      <c r="S26" s="138"/>
      <c r="T26" s="138"/>
      <c r="U26" s="138"/>
      <c r="V26" s="138"/>
    </row>
    <row r="27" spans="1:22" s="5" customFormat="1" x14ac:dyDescent="0.2">
      <c r="A27" s="6" t="s">
        <v>29</v>
      </c>
      <c r="B27" s="138">
        <v>53747141</v>
      </c>
      <c r="C27" s="138">
        <v>21741380.59</v>
      </c>
      <c r="D27" s="138">
        <v>0</v>
      </c>
      <c r="E27" s="138">
        <v>1303530.4000000001</v>
      </c>
      <c r="F27" s="138">
        <v>0</v>
      </c>
      <c r="G27" s="7">
        <f t="shared" si="4"/>
        <v>1303530.4000000001</v>
      </c>
      <c r="H27" s="7">
        <f t="shared" si="5"/>
        <v>20437850.190000001</v>
      </c>
      <c r="I27" s="16">
        <f t="shared" si="6"/>
        <v>0.94004380749401162</v>
      </c>
      <c r="L27" s="138"/>
      <c r="M27" s="138"/>
      <c r="N27" s="138"/>
      <c r="O27" s="138"/>
      <c r="P27" s="138"/>
      <c r="R27" s="138"/>
      <c r="S27" s="138"/>
      <c r="T27" s="138"/>
      <c r="U27" s="138"/>
      <c r="V27" s="138"/>
    </row>
    <row r="28" spans="1:22" s="5" customFormat="1" x14ac:dyDescent="0.2">
      <c r="A28" s="6" t="s">
        <v>30</v>
      </c>
      <c r="B28" s="138">
        <v>1897082.28</v>
      </c>
      <c r="C28" s="138">
        <v>1937082.28</v>
      </c>
      <c r="D28" s="138">
        <v>822156.56999999983</v>
      </c>
      <c r="E28" s="138">
        <v>1289642.0199999998</v>
      </c>
      <c r="F28" s="138">
        <v>451589.08999999997</v>
      </c>
      <c r="G28" s="7">
        <f t="shared" si="4"/>
        <v>1741231.1099999999</v>
      </c>
      <c r="H28" s="7">
        <f t="shared" si="5"/>
        <v>195851.17000000016</v>
      </c>
      <c r="I28" s="16">
        <f t="shared" si="6"/>
        <v>0.10110627309026861</v>
      </c>
      <c r="L28" s="138"/>
      <c r="M28" s="138"/>
      <c r="N28" s="138"/>
      <c r="O28" s="138"/>
      <c r="P28" s="138"/>
      <c r="R28" s="138"/>
      <c r="S28" s="138"/>
      <c r="T28" s="138"/>
      <c r="U28" s="138"/>
      <c r="V28" s="138"/>
    </row>
    <row r="29" spans="1:22" s="5" customFormat="1" x14ac:dyDescent="0.2">
      <c r="A29" s="29" t="s">
        <v>72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  <c r="R29" s="138"/>
      <c r="S29" s="138"/>
      <c r="T29" s="138"/>
      <c r="U29" s="138"/>
      <c r="V29" s="138"/>
    </row>
    <row r="30" spans="1:22" s="5" customFormat="1" x14ac:dyDescent="0.2">
      <c r="A30" s="29" t="s">
        <v>73</v>
      </c>
      <c r="B30" s="138">
        <v>158786775.40000001</v>
      </c>
      <c r="C30" s="138">
        <v>142845358.24000004</v>
      </c>
      <c r="D30" s="138">
        <v>2413330.19</v>
      </c>
      <c r="E30" s="138">
        <v>5816586.5699999984</v>
      </c>
      <c r="F30" s="138">
        <v>10355222.359999999</v>
      </c>
      <c r="G30" s="7">
        <f t="shared" ref="G30" si="10">SUM(E30:F30)</f>
        <v>16171808.929999998</v>
      </c>
      <c r="H30" s="7">
        <f t="shared" ref="H30" si="11">C30-G30</f>
        <v>126673549.31000005</v>
      </c>
      <c r="I30" s="16">
        <f t="shared" ref="I30" si="12">IF(C30=0,"",H30/C30)</f>
        <v>0.88678799836933375</v>
      </c>
      <c r="L30" s="138"/>
      <c r="M30" s="138"/>
      <c r="N30" s="138"/>
      <c r="O30" s="138"/>
      <c r="P30" s="138"/>
      <c r="R30" s="138"/>
      <c r="S30" s="138"/>
      <c r="T30" s="138"/>
      <c r="U30" s="138"/>
      <c r="V30" s="138"/>
    </row>
    <row r="31" spans="1:22" s="5" customFormat="1" x14ac:dyDescent="0.2">
      <c r="A31" s="6" t="s">
        <v>25</v>
      </c>
      <c r="B31" s="138">
        <v>891245</v>
      </c>
      <c r="C31" s="138">
        <v>891245</v>
      </c>
      <c r="D31" s="138">
        <v>1568009.7200000002</v>
      </c>
      <c r="E31" s="138">
        <v>7194429.4900000012</v>
      </c>
      <c r="F31" s="138">
        <v>0</v>
      </c>
      <c r="G31" s="7">
        <f t="shared" si="4"/>
        <v>7194429.4900000012</v>
      </c>
      <c r="H31" s="7">
        <f t="shared" si="5"/>
        <v>-6303184.4900000012</v>
      </c>
      <c r="I31" s="16">
        <f t="shared" si="6"/>
        <v>-7.0723364394751176</v>
      </c>
      <c r="L31" s="138"/>
      <c r="M31" s="138"/>
      <c r="N31" s="138"/>
      <c r="O31" s="138"/>
      <c r="P31" s="138"/>
      <c r="R31" s="138"/>
      <c r="S31" s="138"/>
      <c r="T31" s="138"/>
      <c r="U31" s="138"/>
      <c r="V31" s="138"/>
    </row>
    <row r="32" spans="1:22" s="5" customFormat="1" ht="24.95" customHeight="1" x14ac:dyDescent="0.25">
      <c r="A32" s="10" t="s">
        <v>26</v>
      </c>
      <c r="B32" s="11">
        <f t="shared" ref="B32:H32" si="13">SUM(B14:B31)</f>
        <v>769864118.52999997</v>
      </c>
      <c r="C32" s="11">
        <f t="shared" si="13"/>
        <v>673065862.35999966</v>
      </c>
      <c r="D32" s="11">
        <f t="shared" si="13"/>
        <v>32286646.409999941</v>
      </c>
      <c r="E32" s="11">
        <f t="shared" si="13"/>
        <v>92231711.479999959</v>
      </c>
      <c r="F32" s="11">
        <f t="shared" si="13"/>
        <v>23256890.940000005</v>
      </c>
      <c r="G32" s="11">
        <f t="shared" si="13"/>
        <v>115488602.41999996</v>
      </c>
      <c r="H32" s="11">
        <f t="shared" si="13"/>
        <v>557577259.9399997</v>
      </c>
      <c r="I32" s="36">
        <f>IF(C32=0,"",H32/C32)</f>
        <v>0.82841411386538411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27</v>
      </c>
      <c r="B34" s="7">
        <f>B13-B32</f>
        <v>-306226013.20999998</v>
      </c>
      <c r="C34" s="7">
        <f>C13-C32</f>
        <v>-2445882.0099996328</v>
      </c>
      <c r="D34" s="7">
        <f>D13-D32</f>
        <v>-26760815.409999941</v>
      </c>
      <c r="E34" s="7">
        <f>E13-E32</f>
        <v>-28004192.929999962</v>
      </c>
      <c r="F34" s="7"/>
      <c r="G34" s="7">
        <f>G13-G32</f>
        <v>-51261083.86999996</v>
      </c>
      <c r="H34" s="7">
        <f>H13-H32</f>
        <v>48815201.860000253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-28004192.929999962</v>
      </c>
      <c r="F37" s="24"/>
      <c r="G37" s="24">
        <f>SUM(G34:G36)</f>
        <v>-51261083.86999996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"/>
      <c r="H40" s="1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"/>
      <c r="H41" s="1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37"/>
      <c r="H44" s="137"/>
      <c r="I44" s="137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45230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5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0"/>
        <v>0</v>
      </c>
      <c r="H10" s="11">
        <f t="shared" si="1"/>
        <v>0</v>
      </c>
      <c r="I10" s="36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8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 t="shared" ref="B13:F13" si="7">SUM(B12:B12)</f>
        <v>0</v>
      </c>
      <c r="C13" s="11">
        <f t="shared" si="7"/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ref="G13" si="8">SUM(E13:F13)</f>
        <v>0</v>
      </c>
      <c r="H13" s="11">
        <f t="shared" ref="H13" si="9">C13-G13</f>
        <v>0</v>
      </c>
      <c r="I13" s="36" t="str">
        <f t="shared" ref="I13" si="10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30" bestFit="1" customWidth="1"/>
    <col min="4" max="4" width="13.5703125" style="30" bestFit="1" customWidth="1"/>
    <col min="5" max="5" width="14.7109375" style="30" bestFit="1" customWidth="1"/>
    <col min="6" max="6" width="17.5703125" style="30" customWidth="1"/>
    <col min="7" max="7" width="14.7109375" style="30" bestFit="1" customWidth="1"/>
    <col min="8" max="8" width="14.5703125" style="30" bestFit="1" customWidth="1"/>
    <col min="9" max="9" width="14.85546875" style="1" customWidth="1"/>
    <col min="10" max="10" width="3.5703125" style="48" customWidth="1"/>
    <col min="11" max="11" width="57.2851562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3.7109375" style="1" customWidth="1"/>
    <col min="18" max="18" width="9.7109375" style="1" bestFit="1" customWidth="1"/>
    <col min="19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2" ht="18.75" x14ac:dyDescent="0.3">
      <c r="A2" s="152" t="s">
        <v>78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2" x14ac:dyDescent="0.25">
      <c r="A4" s="153">
        <v>45230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2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J7" s="43"/>
      <c r="L7" s="138"/>
      <c r="M7" s="138"/>
      <c r="N7" s="138"/>
      <c r="O7" s="138"/>
      <c r="P7" s="138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12362732.66</v>
      </c>
      <c r="E8" s="7">
        <v>37235202.210000001</v>
      </c>
      <c r="F8" s="7">
        <v>0</v>
      </c>
      <c r="G8" s="7">
        <f t="shared" ref="G8:G21" si="0">SUM(E8:F8)</f>
        <v>37235202.210000001</v>
      </c>
      <c r="H8" s="7">
        <f t="shared" ref="H8:H11" si="1">C8-G8</f>
        <v>391851371.15000004</v>
      </c>
      <c r="I8" s="35">
        <f>IF(C8=0,"NA",H8/C8)</f>
        <v>0.91322216885411611</v>
      </c>
      <c r="J8" s="44"/>
      <c r="K8"/>
      <c r="L8" s="139"/>
      <c r="M8" s="139"/>
      <c r="N8" s="139"/>
      <c r="O8" s="139"/>
      <c r="P8" s="139"/>
      <c r="R8" s="138"/>
      <c r="S8" s="138"/>
      <c r="T8" s="138"/>
      <c r="U8" s="138"/>
      <c r="V8" s="138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2339390.9699999997</v>
      </c>
      <c r="E9" s="7">
        <v>8836040.2300000004</v>
      </c>
      <c r="F9" s="7">
        <v>0</v>
      </c>
      <c r="G9" s="7">
        <f t="shared" si="0"/>
        <v>8836040.2300000004</v>
      </c>
      <c r="H9" s="7">
        <f t="shared" si="1"/>
        <v>-6036040.2300000004</v>
      </c>
      <c r="I9" s="35">
        <f t="shared" ref="I9:I22" si="2">IF(C9=0,"NA",H9/C9)</f>
        <v>-2.1557286535714288</v>
      </c>
      <c r="J9" s="44"/>
      <c r="K9"/>
      <c r="L9" s="139"/>
      <c r="M9" s="139"/>
      <c r="N9" s="139"/>
      <c r="O9" s="139"/>
      <c r="P9" s="139"/>
      <c r="R9" s="138"/>
      <c r="S9" s="138"/>
      <c r="T9" s="138"/>
      <c r="U9" s="138"/>
      <c r="V9" s="138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  <c r="R10" s="138"/>
      <c r="S10" s="138"/>
      <c r="T10" s="138"/>
      <c r="U10" s="138"/>
      <c r="V10" s="138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  <c r="R11" s="138"/>
      <c r="S11" s="138"/>
      <c r="T11" s="138"/>
      <c r="U11" s="138"/>
      <c r="V11" s="138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14702123.629999999</v>
      </c>
      <c r="E12" s="11">
        <f t="shared" si="3"/>
        <v>46071242.439999998</v>
      </c>
      <c r="F12" s="11">
        <f t="shared" si="3"/>
        <v>0</v>
      </c>
      <c r="G12" s="11">
        <f t="shared" ref="G12:H12" si="4">SUM(G8:G11)</f>
        <v>46071242.439999998</v>
      </c>
      <c r="H12" s="11">
        <f t="shared" si="4"/>
        <v>385815330.92000002</v>
      </c>
      <c r="I12" s="36">
        <f t="shared" si="2"/>
        <v>0.89332559685388224</v>
      </c>
      <c r="L12" s="1"/>
      <c r="M12" s="1"/>
      <c r="N12" s="1"/>
      <c r="O12" s="1"/>
      <c r="P12" s="1"/>
      <c r="Q12" s="1"/>
      <c r="R12" s="138"/>
      <c r="S12" s="138"/>
      <c r="T12" s="138"/>
      <c r="U12" s="138"/>
      <c r="V12" s="138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186666.18</v>
      </c>
      <c r="E13" s="13">
        <v>568287.57999999996</v>
      </c>
      <c r="F13" s="13">
        <v>922410.92999999993</v>
      </c>
      <c r="G13" s="7">
        <f t="shared" si="0"/>
        <v>1490698.5099999998</v>
      </c>
      <c r="H13" s="7">
        <f t="shared" ref="H13:H21" si="5">C13-G13</f>
        <v>-1485198.5099999998</v>
      </c>
      <c r="I13" s="39">
        <f t="shared" si="2"/>
        <v>-270.03609272727266</v>
      </c>
      <c r="J13" s="44"/>
      <c r="R13" s="138"/>
      <c r="S13" s="138"/>
      <c r="T13" s="138"/>
      <c r="U13" s="138"/>
      <c r="V13" s="138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311.5</v>
      </c>
      <c r="E14" s="7">
        <v>58024.36</v>
      </c>
      <c r="F14" s="7">
        <v>395.14</v>
      </c>
      <c r="G14" s="7">
        <f t="shared" si="0"/>
        <v>58419.5</v>
      </c>
      <c r="H14" s="7">
        <f t="shared" si="5"/>
        <v>22653.86</v>
      </c>
      <c r="I14" s="39">
        <f t="shared" ref="I14" si="6">IF(C14=0,"NA",H14/C14)</f>
        <v>0.27942421530327594</v>
      </c>
      <c r="J14" s="44"/>
      <c r="K14" s="1"/>
      <c r="L14" s="1"/>
      <c r="M14" s="1"/>
      <c r="R14" s="138"/>
      <c r="S14" s="138"/>
      <c r="T14" s="138"/>
      <c r="U14" s="138"/>
      <c r="V14" s="138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95040</v>
      </c>
      <c r="E15" s="7">
        <v>95040</v>
      </c>
      <c r="F15" s="7">
        <v>6971652</v>
      </c>
      <c r="G15" s="7">
        <f t="shared" ref="G15" si="7">SUM(E15:F15)</f>
        <v>7066692</v>
      </c>
      <c r="H15" s="7">
        <f t="shared" ref="H15" si="8">C15-G15</f>
        <v>9933308</v>
      </c>
      <c r="I15" s="39">
        <f t="shared" ref="I15" si="9">IF(C15=0,"NA",H15/C15)</f>
        <v>0.58431223529411769</v>
      </c>
      <c r="J15" s="44"/>
      <c r="K15" s="1"/>
      <c r="L15" s="1"/>
      <c r="M15" s="1"/>
      <c r="N15" s="1"/>
      <c r="R15" s="138"/>
      <c r="S15" s="138"/>
      <c r="T15" s="138"/>
      <c r="U15" s="138"/>
      <c r="V15" s="138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60800.819999999992</v>
      </c>
      <c r="E16" s="7">
        <v>405849.52000000008</v>
      </c>
      <c r="F16" s="7">
        <v>33059.22</v>
      </c>
      <c r="G16" s="7">
        <f t="shared" si="0"/>
        <v>438908.74000000011</v>
      </c>
      <c r="H16" s="7">
        <f t="shared" si="5"/>
        <v>10560005.18</v>
      </c>
      <c r="I16" s="39">
        <f t="shared" ref="I16" si="10">IF(C16=0,"NA",H16/C16)</f>
        <v>0.96009526547872104</v>
      </c>
      <c r="J16" s="44"/>
      <c r="K16" s="1"/>
      <c r="L16" s="1"/>
      <c r="M16" s="1"/>
      <c r="N16" s="1"/>
      <c r="O16" s="1"/>
      <c r="R16" s="138"/>
      <c r="S16" s="138"/>
      <c r="T16" s="138"/>
      <c r="U16" s="138"/>
      <c r="V16" s="138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9">
        <f>IF(C17=0,"NA",H17/C17)</f>
        <v>1</v>
      </c>
      <c r="J17" s="44"/>
      <c r="K17" s="1"/>
      <c r="L17" s="1"/>
      <c r="M17" s="1"/>
      <c r="N17" s="1"/>
      <c r="O17" s="1"/>
      <c r="R17" s="138"/>
      <c r="S17" s="138"/>
      <c r="T17" s="138"/>
      <c r="U17" s="138"/>
      <c r="V17" s="138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506189.06</v>
      </c>
      <c r="E18" s="7">
        <v>1012378.12</v>
      </c>
      <c r="F18" s="7">
        <v>12148537.279999999</v>
      </c>
      <c r="G18" s="7">
        <f t="shared" si="0"/>
        <v>13160915.399999999</v>
      </c>
      <c r="H18" s="7">
        <f t="shared" si="5"/>
        <v>4839084.6000000015</v>
      </c>
      <c r="I18" s="39">
        <f>IF(C18=0,"NA",H18/C18)</f>
        <v>0.26883803333333339</v>
      </c>
      <c r="J18" s="44"/>
      <c r="K18" s="1"/>
      <c r="L18" s="1"/>
      <c r="M18" s="1"/>
      <c r="N18" s="1"/>
      <c r="O18" s="1"/>
      <c r="R18" s="138"/>
      <c r="S18" s="138"/>
      <c r="T18" s="138"/>
      <c r="U18" s="138"/>
      <c r="V18" s="138"/>
    </row>
    <row r="19" spans="1:22" s="5" customFormat="1" x14ac:dyDescent="0.25">
      <c r="A19" s="6" t="s">
        <v>73</v>
      </c>
      <c r="B19" s="7">
        <v>729323049.63999987</v>
      </c>
      <c r="C19" s="7">
        <v>454208646.29999989</v>
      </c>
      <c r="D19" s="7">
        <v>2256295.2200000002</v>
      </c>
      <c r="E19" s="7">
        <v>11028618.879999999</v>
      </c>
      <c r="F19" s="7">
        <v>65472076.57</v>
      </c>
      <c r="G19" s="7">
        <f t="shared" si="0"/>
        <v>76500695.450000003</v>
      </c>
      <c r="H19" s="7">
        <f t="shared" si="5"/>
        <v>377707950.8499999</v>
      </c>
      <c r="I19" s="39">
        <f t="shared" si="2"/>
        <v>0.83157366978110736</v>
      </c>
      <c r="J19" s="44"/>
      <c r="K19" s="1"/>
      <c r="L19" s="137"/>
      <c r="M19" s="137"/>
      <c r="N19" s="137"/>
      <c r="O19" s="137"/>
      <c r="P19" s="137"/>
      <c r="Q19" s="1"/>
      <c r="R19" s="138"/>
      <c r="S19" s="138"/>
      <c r="T19" s="138"/>
      <c r="U19" s="138"/>
      <c r="V19" s="138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9">
        <f t="shared" si="2"/>
        <v>1</v>
      </c>
      <c r="J20" s="45"/>
      <c r="K20" s="1"/>
      <c r="L20" s="137"/>
      <c r="M20" s="137"/>
      <c r="N20" s="137"/>
      <c r="O20" s="137"/>
      <c r="P20" s="137"/>
      <c r="Q20" s="1"/>
      <c r="R20" s="138"/>
      <c r="S20" s="138"/>
      <c r="T20" s="138"/>
      <c r="U20" s="138"/>
      <c r="V20" s="138"/>
    </row>
    <row r="21" spans="1:22" s="5" customForma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5572080</v>
      </c>
      <c r="I21" s="39">
        <f t="shared" si="2"/>
        <v>1</v>
      </c>
      <c r="J21" s="44"/>
      <c r="K21" s="1"/>
      <c r="L21" s="137"/>
      <c r="M21" s="137"/>
      <c r="N21" s="137"/>
      <c r="O21" s="137"/>
      <c r="P21" s="137"/>
      <c r="Q21" s="1"/>
      <c r="R21" s="138"/>
      <c r="S21" s="138"/>
      <c r="T21" s="138"/>
      <c r="U21" s="138"/>
      <c r="V21" s="138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847368454.06999981</v>
      </c>
      <c r="C22" s="11">
        <f t="shared" si="11"/>
        <v>590001340.57999992</v>
      </c>
      <c r="D22" s="11">
        <f t="shared" si="11"/>
        <v>3105302.7800000003</v>
      </c>
      <c r="E22" s="11">
        <f t="shared" si="11"/>
        <v>13168198.459999999</v>
      </c>
      <c r="F22" s="11">
        <f t="shared" si="11"/>
        <v>85548131.140000001</v>
      </c>
      <c r="G22" s="11">
        <f t="shared" si="11"/>
        <v>98716329.599999994</v>
      </c>
      <c r="H22" s="11">
        <f t="shared" si="11"/>
        <v>491285010.9799999</v>
      </c>
      <c r="I22" s="36">
        <f t="shared" si="2"/>
        <v>0.83268456728766571</v>
      </c>
      <c r="K22" s="1"/>
      <c r="L22" s="137"/>
      <c r="M22" s="137"/>
      <c r="N22" s="137"/>
      <c r="O22" s="137"/>
      <c r="P22" s="137"/>
      <c r="Q22" s="1"/>
      <c r="R22" s="1"/>
    </row>
    <row r="23" spans="1:22" s="5" customFormat="1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6"/>
      <c r="K23" s="1"/>
      <c r="L23" s="137"/>
      <c r="M23" s="137"/>
      <c r="N23" s="137"/>
      <c r="O23" s="137"/>
      <c r="P23" s="137"/>
      <c r="Q23" s="1"/>
      <c r="R23" s="1"/>
    </row>
    <row r="24" spans="1:22" s="5" customFormat="1" x14ac:dyDescent="0.25">
      <c r="A24" s="6" t="s">
        <v>27</v>
      </c>
      <c r="B24" s="7">
        <f>B12-B22</f>
        <v>-415557454.06999981</v>
      </c>
      <c r="C24" s="7">
        <f>C12-C22</f>
        <v>-158114767.21999991</v>
      </c>
      <c r="D24" s="7">
        <f>D12-D22</f>
        <v>11596820.849999998</v>
      </c>
      <c r="E24" s="7">
        <f>E12-E22</f>
        <v>32903043.979999997</v>
      </c>
      <c r="F24" s="7"/>
      <c r="G24" s="7">
        <f>G12-G22</f>
        <v>-52645087.159999996</v>
      </c>
      <c r="H24" s="7">
        <f>H12-H22</f>
        <v>-105469680.05999988</v>
      </c>
      <c r="I24" s="16"/>
      <c r="J24" s="47"/>
      <c r="K24" s="1"/>
      <c r="L24" s="137"/>
      <c r="M24" s="137"/>
      <c r="N24" s="137"/>
      <c r="O24" s="137"/>
      <c r="P24" s="137"/>
      <c r="Q24" s="1"/>
      <c r="R24" s="1"/>
    </row>
    <row r="25" spans="1:22" x14ac:dyDescent="0.25">
      <c r="A25" s="8"/>
      <c r="B25" s="9"/>
      <c r="C25" s="9"/>
      <c r="D25" s="9"/>
      <c r="E25" s="9"/>
      <c r="F25" s="9"/>
      <c r="G25" s="9"/>
      <c r="H25" s="9"/>
      <c r="I25" s="17"/>
      <c r="J25" s="47"/>
    </row>
    <row r="26" spans="1:22" x14ac:dyDescent="0.25">
      <c r="A26" s="18" t="s">
        <v>67</v>
      </c>
      <c r="B26" s="20"/>
      <c r="C26" s="20"/>
      <c r="D26" s="20"/>
      <c r="E26" s="20">
        <v>509808260</v>
      </c>
      <c r="F26" s="20"/>
      <c r="G26" s="20">
        <f>E26</f>
        <v>509808260</v>
      </c>
      <c r="H26" s="20"/>
      <c r="I26" s="21"/>
      <c r="J26" s="46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542711303.98000002</v>
      </c>
      <c r="F27" s="24"/>
      <c r="G27" s="24">
        <f>SUM(G24:G26)</f>
        <v>457163172.84000003</v>
      </c>
      <c r="H27" s="24"/>
      <c r="I27" s="25"/>
    </row>
    <row r="28" spans="1:22" x14ac:dyDescent="0.25">
      <c r="A28" s="5"/>
      <c r="B28" s="33"/>
      <c r="C28" s="33"/>
      <c r="D28" s="33"/>
      <c r="E28" s="33"/>
      <c r="F28" s="33"/>
      <c r="G28" s="33"/>
      <c r="H28" s="33"/>
      <c r="I28" s="5"/>
    </row>
    <row r="29" spans="1:22" s="137" customFormat="1" x14ac:dyDescent="0.25">
      <c r="H29" s="150"/>
    </row>
    <row r="30" spans="1:22" s="137" customFormat="1" x14ac:dyDescent="0.25">
      <c r="B30" s="150"/>
    </row>
    <row r="31" spans="1:22" s="137" customFormat="1" x14ac:dyDescent="0.25">
      <c r="D31" s="150"/>
    </row>
    <row r="32" spans="1:22" s="137" customFormat="1" x14ac:dyDescent="0.25"/>
    <row r="33" spans="2:10" s="137" customFormat="1" x14ac:dyDescent="0.25"/>
    <row r="34" spans="2:10" s="137" customFormat="1" x14ac:dyDescent="0.25"/>
    <row r="35" spans="2:10" s="137" customFormat="1" x14ac:dyDescent="0.25"/>
    <row r="36" spans="2:10" s="137" customFormat="1" x14ac:dyDescent="0.25"/>
    <row r="37" spans="2:10" x14ac:dyDescent="0.25">
      <c r="B37" s="137"/>
      <c r="C37" s="137"/>
      <c r="D37" s="137"/>
      <c r="E37" s="137"/>
      <c r="F37" s="137"/>
      <c r="J37" s="137"/>
    </row>
    <row r="38" spans="2:10" x14ac:dyDescent="0.25">
      <c r="B38" s="137"/>
      <c r="C38" s="137"/>
      <c r="D38" s="137"/>
      <c r="E38" s="137"/>
      <c r="F38" s="137"/>
      <c r="J38" s="137"/>
    </row>
    <row r="39" spans="2:10" x14ac:dyDescent="0.25">
      <c r="B39" s="137"/>
      <c r="C39" s="137"/>
      <c r="D39" s="137"/>
      <c r="E39" s="137"/>
      <c r="F39" s="137"/>
      <c r="J39" s="137"/>
    </row>
    <row r="40" spans="2:10" x14ac:dyDescent="0.25">
      <c r="B40" s="137"/>
      <c r="C40" s="137"/>
      <c r="D40" s="137"/>
      <c r="E40" s="137"/>
      <c r="F40" s="137"/>
      <c r="J40" s="137"/>
    </row>
    <row r="41" spans="2:10" x14ac:dyDescent="0.25">
      <c r="I41" s="30"/>
    </row>
    <row r="42" spans="2:10" x14ac:dyDescent="0.25">
      <c r="I42" s="30"/>
    </row>
    <row r="43" spans="2:10" x14ac:dyDescent="0.25">
      <c r="I43" s="30"/>
    </row>
    <row r="44" spans="2:10" x14ac:dyDescent="0.25">
      <c r="I44" s="30"/>
    </row>
    <row r="45" spans="2:10" x14ac:dyDescent="0.25">
      <c r="I45" s="30"/>
    </row>
    <row r="46" spans="2:10" x14ac:dyDescent="0.25">
      <c r="I46" s="30"/>
    </row>
    <row r="47" spans="2:10" x14ac:dyDescent="0.25">
      <c r="I4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3" ht="18.75" x14ac:dyDescent="0.3">
      <c r="A2" s="152" t="s">
        <v>77</v>
      </c>
      <c r="B2" s="152"/>
      <c r="C2" s="152"/>
      <c r="D2" s="152"/>
      <c r="E2" s="152"/>
      <c r="F2" s="152"/>
      <c r="G2" s="152"/>
      <c r="H2" s="152"/>
      <c r="I2" s="152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3" x14ac:dyDescent="0.25">
      <c r="A4" s="153">
        <v>45230</v>
      </c>
      <c r="B4" s="153"/>
      <c r="C4" s="153"/>
      <c r="D4" s="153"/>
      <c r="E4" s="153"/>
      <c r="F4" s="153"/>
      <c r="G4" s="153"/>
      <c r="H4" s="153"/>
      <c r="I4" s="153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3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M7" s="138"/>
      <c r="N7" s="138"/>
      <c r="O7" s="138"/>
      <c r="P7" s="138"/>
      <c r="Q7" s="138"/>
      <c r="R7" s="138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254047.25</v>
      </c>
      <c r="E8" s="7">
        <v>978334.45</v>
      </c>
      <c r="F8" s="7">
        <v>0</v>
      </c>
      <c r="G8" s="7">
        <f t="shared" ref="G8:G17" si="0">SUM(E8:F8)</f>
        <v>978334.45</v>
      </c>
      <c r="H8" s="7">
        <f t="shared" ref="H8:H12" si="1">C8-G8</f>
        <v>60071460.919999994</v>
      </c>
      <c r="I8" s="39">
        <f>IF(C8=0,"NA",H8/C8)</f>
        <v>0.98397481196995529</v>
      </c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23566.21</v>
      </c>
      <c r="E9" s="7">
        <v>91771.02</v>
      </c>
      <c r="F9" s="7">
        <v>0</v>
      </c>
      <c r="G9" s="7">
        <f t="shared" si="0"/>
        <v>91771.02</v>
      </c>
      <c r="H9" s="7">
        <f t="shared" si="1"/>
        <v>-91771.02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128380</v>
      </c>
      <c r="E10" s="7">
        <v>260760</v>
      </c>
      <c r="F10" s="7">
        <v>0</v>
      </c>
      <c r="G10" s="7">
        <f t="shared" si="0"/>
        <v>260760</v>
      </c>
      <c r="H10" s="7">
        <f t="shared" si="1"/>
        <v>-260760</v>
      </c>
      <c r="I10" s="39" t="str">
        <f t="shared" si="2"/>
        <v>NA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2299578.41</v>
      </c>
      <c r="E11" s="7">
        <v>13948075.439999999</v>
      </c>
      <c r="F11" s="7">
        <v>0</v>
      </c>
      <c r="G11" s="7">
        <f t="shared" si="0"/>
        <v>13948075.439999999</v>
      </c>
      <c r="H11" s="7">
        <f t="shared" si="1"/>
        <v>-2146097.4399999995</v>
      </c>
      <c r="I11" s="39">
        <f t="shared" si="2"/>
        <v>-0.18184218272564137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2705571.87</v>
      </c>
      <c r="E13" s="11">
        <f t="shared" si="3"/>
        <v>15278940.91</v>
      </c>
      <c r="F13" s="11">
        <f t="shared" si="3"/>
        <v>0</v>
      </c>
      <c r="G13" s="11">
        <f t="shared" si="3"/>
        <v>15278940.91</v>
      </c>
      <c r="H13" s="11">
        <f t="shared" si="3"/>
        <v>60372832.459999993</v>
      </c>
      <c r="I13" s="36">
        <f t="shared" si="2"/>
        <v>0.7980359186654713</v>
      </c>
      <c r="L13" s="1"/>
      <c r="M13" s="1"/>
      <c r="N13" s="1"/>
      <c r="O13" s="1"/>
      <c r="P13" s="1"/>
      <c r="Q13" s="1"/>
      <c r="R13" s="1"/>
      <c r="S13" s="138"/>
      <c r="T13" s="138"/>
      <c r="U13" s="138"/>
      <c r="V13" s="138"/>
      <c r="W13" s="138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7567901.0200000061</v>
      </c>
      <c r="E16" s="7">
        <v>16207129.780000014</v>
      </c>
      <c r="F16" s="7">
        <v>6897218.9099999983</v>
      </c>
      <c r="G16" s="7">
        <f t="shared" si="0"/>
        <v>23104348.690000013</v>
      </c>
      <c r="H16" s="7">
        <f t="shared" si="4"/>
        <v>52547424.88000001</v>
      </c>
      <c r="I16" s="39">
        <f t="shared" si="2"/>
        <v>0.694596073565655</v>
      </c>
      <c r="L16" s="1"/>
      <c r="M16" s="1"/>
      <c r="N16" s="1"/>
      <c r="O16" s="1"/>
      <c r="P16" s="1"/>
      <c r="Q16" s="1"/>
      <c r="R16" s="1"/>
      <c r="S16" s="138"/>
      <c r="T16" s="138"/>
      <c r="U16" s="138"/>
      <c r="V16" s="138"/>
      <c r="W16" s="138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38"/>
      <c r="T17" s="138"/>
      <c r="U17" s="138"/>
      <c r="V17" s="138"/>
      <c r="W17" s="138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7567901.0200000061</v>
      </c>
      <c r="E18" s="11">
        <f t="shared" si="5"/>
        <v>16207129.780000014</v>
      </c>
      <c r="F18" s="11">
        <f t="shared" si="5"/>
        <v>6897218.9099999983</v>
      </c>
      <c r="G18" s="11">
        <f t="shared" si="5"/>
        <v>23104348.690000013</v>
      </c>
      <c r="H18" s="11">
        <f t="shared" ref="H18" si="6">SUM(H14:H17)</f>
        <v>52547424.88000001</v>
      </c>
      <c r="I18" s="36">
        <f t="shared" si="2"/>
        <v>0.694596073565655</v>
      </c>
      <c r="L18" s="1"/>
      <c r="M18" s="1"/>
      <c r="N18" s="1"/>
      <c r="O18" s="1"/>
      <c r="P18" s="1"/>
      <c r="Q18" s="1"/>
      <c r="R18" s="1"/>
      <c r="S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-4862329.150000006</v>
      </c>
      <c r="E20" s="7">
        <f>E13-E18</f>
        <v>-928188.87000001408</v>
      </c>
      <c r="F20" s="7"/>
      <c r="G20" s="7">
        <f>G13-G18</f>
        <v>-7825407.7800000124</v>
      </c>
      <c r="H20" s="7">
        <f>H13-H18</f>
        <v>7825407.5799999833</v>
      </c>
      <c r="I20" s="16"/>
      <c r="L20" s="1"/>
      <c r="M20" s="1"/>
      <c r="N20" s="1"/>
      <c r="O20" s="1"/>
      <c r="P20" s="1"/>
      <c r="Q20" s="1"/>
      <c r="R20" s="1"/>
      <c r="S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27647065.129999988</v>
      </c>
      <c r="F23" s="24"/>
      <c r="G23" s="24">
        <f>SUM(G20:G22)</f>
        <v>20749846.219999988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</row>
    <row r="24" spans="1:16384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30"/>
      <c r="C25" s="1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16384" s="5" customFormat="1" x14ac:dyDescent="0.25">
      <c r="A26" s="1"/>
      <c r="B26" s="30"/>
      <c r="C26" s="30"/>
      <c r="D26" s="3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30"/>
      <c r="J28" s="30"/>
    </row>
    <row r="29" spans="1:16384" x14ac:dyDescent="0.25">
      <c r="I29" s="30"/>
      <c r="J29" s="30"/>
    </row>
    <row r="30" spans="1:16384" x14ac:dyDescent="0.25">
      <c r="G30" s="1"/>
      <c r="H30" s="1"/>
    </row>
    <row r="31" spans="1:16384" x14ac:dyDescent="0.25">
      <c r="I31" s="30"/>
    </row>
    <row r="32" spans="1:16384" x14ac:dyDescent="0.25">
      <c r="I32" s="30"/>
      <c r="J32" s="30"/>
    </row>
    <row r="33" spans="5:10" x14ac:dyDescent="0.25">
      <c r="I33" s="30"/>
      <c r="J33" s="30"/>
    </row>
    <row r="34" spans="5:10" x14ac:dyDescent="0.25">
      <c r="G34" s="1"/>
      <c r="H34" s="1"/>
    </row>
    <row r="35" spans="5:10" x14ac:dyDescent="0.25">
      <c r="E35" s="1"/>
      <c r="F35" s="1"/>
      <c r="G35" s="1"/>
      <c r="H35" s="1"/>
    </row>
    <row r="36" spans="5:10" x14ac:dyDescent="0.25">
      <c r="G36" s="1"/>
      <c r="H36" s="1"/>
    </row>
    <row r="37" spans="5:10" x14ac:dyDescent="0.25">
      <c r="H37" s="1"/>
    </row>
    <row r="38" spans="5:10" x14ac:dyDescent="0.25">
      <c r="H38" s="1"/>
    </row>
    <row r="39" spans="5:10" x14ac:dyDescent="0.25">
      <c r="H39" s="1"/>
    </row>
    <row r="40" spans="5:10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2023-11-14T16:27:47Z</cp:lastPrinted>
  <dcterms:created xsi:type="dcterms:W3CDTF">2020-01-29T12:55:36Z</dcterms:created>
  <dcterms:modified xsi:type="dcterms:W3CDTF">2023-11-14T16:28:09Z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