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4_02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4)" sheetId="10" state="hidden" r:id="rId2"/>
    <sheet name="Budget vs Actual (2024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4" l="1"/>
  <c r="H19" i="4" s="1"/>
  <c r="I19" i="4" s="1"/>
  <c r="K40" i="10" l="1"/>
  <c r="L22" i="10"/>
  <c r="L16" i="10"/>
  <c r="L11" i="10"/>
  <c r="L10" i="10"/>
  <c r="L9" i="10"/>
  <c r="J43" i="10" l="1"/>
  <c r="J42" i="10"/>
  <c r="J41" i="10"/>
  <c r="J40" i="10"/>
  <c r="K19" i="10"/>
  <c r="K18" i="10"/>
  <c r="K17" i="10"/>
  <c r="K16" i="10"/>
  <c r="K14" i="10"/>
  <c r="K13" i="10"/>
  <c r="K11" i="10"/>
  <c r="K10" i="10"/>
  <c r="K9" i="10"/>
  <c r="I42" i="10" l="1"/>
  <c r="I40" i="10"/>
  <c r="J22" i="10"/>
  <c r="J19" i="10"/>
  <c r="J18" i="10"/>
  <c r="J17" i="10"/>
  <c r="J16" i="10"/>
  <c r="J14" i="10"/>
  <c r="J13" i="10"/>
  <c r="J11" i="10"/>
  <c r="J10" i="10"/>
  <c r="J9" i="10"/>
  <c r="C13" i="3"/>
  <c r="D13" i="3"/>
  <c r="E13" i="3"/>
  <c r="F13" i="3"/>
  <c r="G13" i="3"/>
  <c r="H13" i="3"/>
  <c r="B13" i="3"/>
  <c r="C10" i="3"/>
  <c r="D10" i="3"/>
  <c r="E10" i="3"/>
  <c r="F10" i="3"/>
  <c r="G10" i="3"/>
  <c r="H10" i="3"/>
  <c r="H42" i="10" l="1"/>
  <c r="H40" i="10"/>
  <c r="I19" i="10"/>
  <c r="I18" i="10"/>
  <c r="I17" i="10"/>
  <c r="I16" i="10"/>
  <c r="I14" i="10"/>
  <c r="I13" i="10"/>
  <c r="I11" i="10"/>
  <c r="I9" i="10"/>
  <c r="G17" i="5" l="1"/>
  <c r="G16" i="5"/>
  <c r="G15" i="5"/>
  <c r="G14" i="5"/>
  <c r="H19" i="10" l="1"/>
  <c r="H17" i="10"/>
  <c r="H14" i="10"/>
  <c r="H13" i="10"/>
  <c r="H11" i="10"/>
  <c r="H10" i="10"/>
  <c r="H9" i="10"/>
  <c r="G40" i="10" l="1"/>
  <c r="H18" i="10"/>
  <c r="H16" i="10"/>
  <c r="G15" i="4" l="1"/>
  <c r="H15" i="4" s="1"/>
  <c r="I15" i="4" s="1"/>
  <c r="G19" i="10" l="1"/>
  <c r="G18" i="10"/>
  <c r="G17" i="10"/>
  <c r="G16" i="10"/>
  <c r="G14" i="10"/>
  <c r="G13" i="10"/>
  <c r="G11" i="10"/>
  <c r="G10" i="10"/>
  <c r="G9" i="10"/>
  <c r="H25" i="10"/>
  <c r="F19" i="10" l="1"/>
  <c r="F17" i="10"/>
  <c r="F16" i="10"/>
  <c r="F14" i="10"/>
  <c r="F11" i="10"/>
  <c r="F10" i="10"/>
  <c r="F9" i="10"/>
  <c r="G22" i="4" l="1"/>
  <c r="H22" i="4" s="1"/>
  <c r="G21" i="4"/>
  <c r="H21" i="4" s="1"/>
  <c r="G20" i="4"/>
  <c r="H20" i="4" s="1"/>
  <c r="G18" i="4"/>
  <c r="H18" i="4" s="1"/>
  <c r="I18" i="4" s="1"/>
  <c r="G17" i="4"/>
  <c r="H17" i="4" s="1"/>
  <c r="G16" i="4"/>
  <c r="H16" i="4" s="1"/>
  <c r="G14" i="4"/>
  <c r="H14" i="4" s="1"/>
  <c r="I20" i="4" l="1"/>
  <c r="I21" i="4"/>
  <c r="G27" i="1" l="1"/>
  <c r="H27" i="1" s="1"/>
  <c r="I27" i="1" s="1"/>
  <c r="C40" i="10" l="1"/>
  <c r="C41" i="10"/>
  <c r="C42" i="10"/>
  <c r="C43" i="10"/>
  <c r="G11" i="3"/>
  <c r="G12" i="3"/>
  <c r="G29" i="2"/>
  <c r="H29" i="2" s="1"/>
  <c r="I29" i="2" s="1"/>
  <c r="I14" i="4" l="1"/>
  <c r="G8" i="4" l="1"/>
  <c r="G9" i="4"/>
  <c r="G10" i="4"/>
  <c r="G11" i="4"/>
  <c r="E35" i="1" l="1"/>
  <c r="G35" i="1" s="1"/>
  <c r="G34" i="1"/>
  <c r="H65" i="10" l="1"/>
  <c r="F25" i="10"/>
  <c r="E20" i="10"/>
  <c r="T20" i="10" s="1"/>
  <c r="E21" i="10"/>
  <c r="T21" i="10" s="1"/>
  <c r="E22" i="10"/>
  <c r="T22" i="10" s="1"/>
  <c r="E23" i="10"/>
  <c r="T23" i="10" s="1"/>
  <c r="E24" i="10"/>
  <c r="T24" i="10" s="1"/>
  <c r="G26" i="1" l="1"/>
  <c r="H26" i="1" s="1"/>
  <c r="I26" i="1" s="1"/>
  <c r="G13" i="4" l="1"/>
  <c r="C29" i="1" l="1"/>
  <c r="D29" i="1"/>
  <c r="E29" i="1"/>
  <c r="F29" i="1"/>
  <c r="B2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8" i="1"/>
  <c r="G29" i="1" l="1"/>
  <c r="U25" i="10"/>
  <c r="C12" i="4" l="1"/>
  <c r="D12" i="4"/>
  <c r="E12" i="4"/>
  <c r="F12" i="4"/>
  <c r="B12" i="4"/>
  <c r="I16" i="4"/>
  <c r="E16" i="10"/>
  <c r="T16" i="10" s="1"/>
  <c r="E13" i="10"/>
  <c r="T13" i="10" s="1"/>
  <c r="I11" i="3"/>
  <c r="H11" i="3"/>
  <c r="G9" i="3"/>
  <c r="H9" i="3" s="1"/>
  <c r="I9" i="3" s="1"/>
  <c r="I8" i="3"/>
  <c r="G8" i="3"/>
  <c r="H8" i="3" s="1"/>
  <c r="H12" i="3"/>
  <c r="I12" i="3" s="1"/>
  <c r="B47" i="10"/>
  <c r="E19" i="10"/>
  <c r="T19" i="10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5" i="1"/>
  <c r="I25" i="1" s="1"/>
  <c r="H28" i="1"/>
  <c r="I28" i="1" s="1"/>
  <c r="H24" i="1"/>
  <c r="I24" i="1" s="1"/>
  <c r="H23" i="1"/>
  <c r="I23" i="1" s="1"/>
  <c r="B12" i="1"/>
  <c r="C12" i="1"/>
  <c r="D12" i="1"/>
  <c r="E12" i="1"/>
  <c r="F12" i="1"/>
  <c r="B65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C47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E51" i="10" s="1"/>
  <c r="B46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B44" i="10"/>
  <c r="T43" i="10"/>
  <c r="T42" i="10"/>
  <c r="T41" i="10"/>
  <c r="T40" i="10"/>
  <c r="Q25" i="10"/>
  <c r="P25" i="10"/>
  <c r="O25" i="10"/>
  <c r="N25" i="10"/>
  <c r="M25" i="10"/>
  <c r="E15" i="10"/>
  <c r="T15" i="10" s="1"/>
  <c r="E14" i="10"/>
  <c r="T14" i="10" s="1"/>
  <c r="E12" i="10"/>
  <c r="T12" i="10" s="1"/>
  <c r="E10" i="10"/>
  <c r="T10" i="10" s="1"/>
  <c r="G22" i="5"/>
  <c r="G27" i="4"/>
  <c r="G17" i="3"/>
  <c r="G36" i="2"/>
  <c r="G33" i="1"/>
  <c r="C18" i="5"/>
  <c r="D18" i="5"/>
  <c r="E18" i="5"/>
  <c r="F18" i="5"/>
  <c r="B18" i="5"/>
  <c r="B23" i="4"/>
  <c r="C23" i="4"/>
  <c r="D23" i="4"/>
  <c r="E23" i="4"/>
  <c r="F23" i="4"/>
  <c r="I15" i="5"/>
  <c r="I10" i="4"/>
  <c r="G8" i="1"/>
  <c r="H8" i="1" s="1"/>
  <c r="I8" i="1" s="1"/>
  <c r="G9" i="1"/>
  <c r="H9" i="1" s="1"/>
  <c r="I9" i="1" s="1"/>
  <c r="G10" i="1"/>
  <c r="H10" i="1" s="1"/>
  <c r="I10" i="1" s="1"/>
  <c r="G11" i="1"/>
  <c r="G30" i="2"/>
  <c r="H30" i="2" s="1"/>
  <c r="I30" i="2" s="1"/>
  <c r="H17" i="5"/>
  <c r="H16" i="5"/>
  <c r="I16" i="5" s="1"/>
  <c r="H15" i="5"/>
  <c r="H14" i="5"/>
  <c r="I14" i="5" s="1"/>
  <c r="B10" i="3"/>
  <c r="B13" i="5"/>
  <c r="C13" i="5"/>
  <c r="D13" i="5"/>
  <c r="E13" i="5"/>
  <c r="F13" i="5"/>
  <c r="B13" i="2"/>
  <c r="C13" i="2"/>
  <c r="D13" i="2"/>
  <c r="E13" i="2"/>
  <c r="F13" i="2"/>
  <c r="I17" i="5"/>
  <c r="G12" i="5"/>
  <c r="H12" i="5" s="1"/>
  <c r="I12" i="5" s="1"/>
  <c r="G11" i="5"/>
  <c r="H11" i="5" s="1"/>
  <c r="I11" i="5" s="1"/>
  <c r="G10" i="5"/>
  <c r="H10" i="5" s="1"/>
  <c r="I10" i="5" s="1"/>
  <c r="G9" i="5"/>
  <c r="H9" i="5" s="1"/>
  <c r="I9" i="5" s="1"/>
  <c r="G8" i="5"/>
  <c r="H8" i="5" s="1"/>
  <c r="I22" i="4"/>
  <c r="H13" i="4"/>
  <c r="I13" i="4" s="1"/>
  <c r="H11" i="4"/>
  <c r="I11" i="4"/>
  <c r="H10" i="4"/>
  <c r="H9" i="4"/>
  <c r="I9" i="4" s="1"/>
  <c r="H8" i="4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G12" i="2"/>
  <c r="G11" i="2"/>
  <c r="G10" i="2"/>
  <c r="G9" i="2"/>
  <c r="G8" i="2"/>
  <c r="N48" i="10" l="1"/>
  <c r="H10" i="2"/>
  <c r="H9" i="2"/>
  <c r="H11" i="2"/>
  <c r="H12" i="2"/>
  <c r="E48" i="10"/>
  <c r="E11" i="10"/>
  <c r="T11" i="10" s="1"/>
  <c r="J25" i="10"/>
  <c r="O48" i="10"/>
  <c r="G48" i="10"/>
  <c r="B48" i="10"/>
  <c r="I48" i="10"/>
  <c r="E18" i="10"/>
  <c r="T18" i="10" s="1"/>
  <c r="H48" i="10"/>
  <c r="L48" i="10"/>
  <c r="J48" i="10"/>
  <c r="M48" i="10"/>
  <c r="F48" i="10"/>
  <c r="E52" i="10"/>
  <c r="F52" i="10" s="1"/>
  <c r="G52" i="10" s="1"/>
  <c r="H52" i="10" s="1"/>
  <c r="I52" i="10" s="1"/>
  <c r="J52" i="10" s="1"/>
  <c r="K52" i="10" s="1"/>
  <c r="L52" i="10" s="1"/>
  <c r="M52" i="10" s="1"/>
  <c r="N52" i="10" s="1"/>
  <c r="O52" i="10" s="1"/>
  <c r="P52" i="10" s="1"/>
  <c r="B20" i="5"/>
  <c r="K48" i="10"/>
  <c r="E9" i="10"/>
  <c r="T9" i="10" s="1"/>
  <c r="L25" i="10"/>
  <c r="P48" i="10"/>
  <c r="E17" i="10"/>
  <c r="T17" i="10" s="1"/>
  <c r="E31" i="1"/>
  <c r="E36" i="1" s="1"/>
  <c r="E20" i="5"/>
  <c r="E23" i="5" s="1"/>
  <c r="D40" i="10"/>
  <c r="D41" i="10"/>
  <c r="D42" i="10"/>
  <c r="D43" i="10"/>
  <c r="D47" i="10"/>
  <c r="B56" i="10" s="1"/>
  <c r="D20" i="5"/>
  <c r="C20" i="5"/>
  <c r="C25" i="4"/>
  <c r="D34" i="2"/>
  <c r="C34" i="2"/>
  <c r="B31" i="1"/>
  <c r="E15" i="3"/>
  <c r="E18" i="3" s="1"/>
  <c r="D15" i="3"/>
  <c r="B34" i="2"/>
  <c r="D31" i="1"/>
  <c r="C31" i="1"/>
  <c r="G12" i="1"/>
  <c r="G13" i="5"/>
  <c r="B25" i="4"/>
  <c r="H18" i="5"/>
  <c r="I18" i="5" s="1"/>
  <c r="G18" i="5"/>
  <c r="G12" i="4"/>
  <c r="E25" i="4"/>
  <c r="E28" i="4" s="1"/>
  <c r="D25" i="4"/>
  <c r="B15" i="3"/>
  <c r="C15" i="3"/>
  <c r="I13" i="3"/>
  <c r="G32" i="2"/>
  <c r="G13" i="2"/>
  <c r="E34" i="2"/>
  <c r="E37" i="2" s="1"/>
  <c r="H11" i="1"/>
  <c r="I14" i="2"/>
  <c r="H32" i="2"/>
  <c r="I32" i="2" s="1"/>
  <c r="I8" i="5"/>
  <c r="H13" i="5"/>
  <c r="H12" i="4"/>
  <c r="I8" i="4"/>
  <c r="I17" i="1"/>
  <c r="H29" i="1"/>
  <c r="I29" i="1" s="1"/>
  <c r="I17" i="4"/>
  <c r="H23" i="4"/>
  <c r="I23" i="4" s="1"/>
  <c r="C46" i="10"/>
  <c r="F51" i="10"/>
  <c r="G23" i="4"/>
  <c r="G25" i="10"/>
  <c r="C44" i="10"/>
  <c r="D44" i="10" s="1"/>
  <c r="H8" i="2"/>
  <c r="I25" i="10"/>
  <c r="K25" i="10"/>
  <c r="I12" i="2" l="1"/>
  <c r="I11" i="2"/>
  <c r="I9" i="2"/>
  <c r="I10" i="2"/>
  <c r="E53" i="10"/>
  <c r="C48" i="10"/>
  <c r="D48" i="10" s="1"/>
  <c r="B57" i="10" s="1"/>
  <c r="E25" i="10"/>
  <c r="T25" i="10"/>
  <c r="C6" i="10"/>
  <c r="G31" i="1"/>
  <c r="G36" i="1" s="1"/>
  <c r="G34" i="2"/>
  <c r="G37" i="2" s="1"/>
  <c r="G20" i="5"/>
  <c r="G23" i="5" s="1"/>
  <c r="G15" i="3"/>
  <c r="G18" i="3" s="1"/>
  <c r="H12" i="1"/>
  <c r="I12" i="1" s="1"/>
  <c r="I11" i="1"/>
  <c r="G25" i="4"/>
  <c r="G28" i="4" s="1"/>
  <c r="H13" i="2"/>
  <c r="I8" i="2"/>
  <c r="H20" i="5"/>
  <c r="I13" i="5"/>
  <c r="G51" i="10"/>
  <c r="F53" i="10"/>
  <c r="D46" i="10"/>
  <c r="B55" i="10" s="1"/>
  <c r="I12" i="4"/>
  <c r="H25" i="4"/>
  <c r="I10" i="3"/>
  <c r="H15" i="3"/>
  <c r="B16" i="10" l="1"/>
  <c r="C16" i="10" s="1"/>
  <c r="B29" i="10"/>
  <c r="B15" i="10"/>
  <c r="C15" i="10" s="1"/>
  <c r="I13" i="2"/>
  <c r="H34" i="2"/>
  <c r="G53" i="10"/>
  <c r="H51" i="10"/>
  <c r="H53" i="10" l="1"/>
  <c r="I51" i="10"/>
  <c r="I53" i="10" l="1"/>
  <c r="J51" i="10"/>
  <c r="K51" i="10" l="1"/>
  <c r="J53" i="10"/>
  <c r="K53" i="10" l="1"/>
  <c r="L51" i="10"/>
  <c r="M51" i="10" l="1"/>
  <c r="L53" i="10"/>
  <c r="M53" i="10" l="1"/>
  <c r="N51" i="10"/>
  <c r="O51" i="10" l="1"/>
  <c r="N53" i="10"/>
  <c r="O53" i="10" l="1"/>
  <c r="P51" i="10"/>
  <c r="P53" i="10" s="1"/>
</calcChain>
</file>

<file path=xl/sharedStrings.xml><?xml version="1.0" encoding="utf-8"?>
<sst xmlns="http://schemas.openxmlformats.org/spreadsheetml/2006/main" count="269" uniqueCount="84">
  <si>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</si>
  <si>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</si>
  <si>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</si>
  <si>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</si>
  <si>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</si>
  <si>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</si>
  <si>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</si>
  <si>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</si>
  <si>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</si>
  <si>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</si>
  <si>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</si>
  <si>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</si>
  <si>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</si>
  <si>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</si>
  <si>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</si>
  <si>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</si>
  <si>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</si>
  <si>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</si>
  <si>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</si>
  <si>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</si>
  <si>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</si>
  <si>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</si>
  <si>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</si>
  <si>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</si>
  <si>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</si>
  <si>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</si>
  <si>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</si>
  <si>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</si>
  <si>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</si>
  <si>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SCHOOL NUTRITION PROGRAM</t>
  </si>
  <si>
    <t xml:space="preserve">   ENTERPRISE OPERATIONS</t>
  </si>
  <si>
    <t>% of REMAINING BUDGET</t>
  </si>
  <si>
    <t>Description</t>
  </si>
  <si>
    <t>AMENDED BUDGET</t>
  </si>
  <si>
    <t>ORIGINAL BUDGET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</si>
  <si>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</si>
  <si>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</si>
  <si>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</si>
  <si>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</si>
  <si>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</si>
  <si>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</si>
  <si>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</si>
  <si>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</si>
  <si>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</si>
  <si>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</si>
  <si>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</si>
  <si>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</si>
  <si>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</si>
  <si>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</si>
  <si>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</si>
  <si>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</si>
  <si>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</si>
  <si>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</si>
  <si>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</si>
  <si>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</si>
  <si>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</si>
  <si>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</si>
  <si>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</si>
  <si>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</si>
  <si>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</si>
  <si>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</si>
  <si>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</si>
  <si>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</si>
  <si>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</si>
  <si>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</si>
  <si>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</si>
  <si>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</si>
  <si>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BEGINNING BALANCE (Estimated)</t>
  </si>
  <si>
    <t>ASSIGNED BALANCE (Gold Case)</t>
  </si>
  <si>
    <t>UNASSIGNED STARTING BALANCE (Estimated)</t>
  </si>
  <si>
    <t xml:space="preserve">   MAINTENANCE AND OPERATION OF PLANT SERVICES</t>
  </si>
  <si>
    <t xml:space="preserve">   FEDERAL GRANT ADMINISTRATION</t>
  </si>
  <si>
    <t xml:space="preserve">   COMMUNITY SERVICES OPERATIONS</t>
  </si>
  <si>
    <t xml:space="preserve">   FACILITIES ACQUISITION AND CONSTRUCTION SERVICES</t>
  </si>
  <si>
    <t xml:space="preserve">   FEDERAL SOURCES</t>
  </si>
  <si>
    <t>FY2024 GENERAL FUND (ROLLUP)</t>
  </si>
  <si>
    <t>FY2024 SPECIAL REVENUE (ROLLUP)</t>
  </si>
  <si>
    <t>FY2024 SCHOOL NUTRITION (ROLLUP)</t>
  </si>
  <si>
    <t>FY2024 CAPITAL PROJECTS (ROLLUP)</t>
  </si>
  <si>
    <t>FY2024 DEBT SERVICE (ROLLUP)</t>
  </si>
  <si>
    <t>FY2024 BUDGET CHARTS</t>
  </si>
  <si>
    <t>TOTAL GENERAL OPERATIONS BUDGET
$1,478,089,191</t>
  </si>
  <si>
    <t>GENERAL OPERATIONS YTD EXPENSES
$855,177,237</t>
  </si>
  <si>
    <t>(LOCAL &amp; OTHER)  Budgeted: $930,818,788  Actual: $866,730,446  93.11%
(STATE)  Budgeted: $524,467,714  Actual: $319,416,414   60.90%
TOTAL Budgeted: $1,455,286,502  Actual: $1,186,146,860   81.51%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</si>
</sst>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16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  <font>
      <sz val="11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9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0" fontId="3" fillId="0" borderId="14" xfId="1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164" fontId="6" fillId="0" borderId="28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40" fontId="6" fillId="0" borderId="0" xfId="2" applyNumberFormat="1" applyAlignment="1">
      <alignment vertical="top" wrapText="1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38" fontId="0" fillId="0" borderId="0" xfId="0" applyNumberFormat="1"/>
    <xf numFmtId="40" fontId="11" fillId="0" borderId="0" xfId="2" applyNumberFormat="1" applyFont="1" applyAlignment="1">
      <alignment vertical="top"/>
    </xf>
    <xf numFmtId="40" fontId="3" fillId="0" borderId="0" xfId="0" applyNumberFormat="1" applyFont="1" applyFill="1"/>
    <xf numFmtId="40" fontId="3" fillId="0" borderId="13" xfId="0" applyNumberFormat="1" applyFont="1" applyBorder="1" applyAlignment="1">
      <alignment vertical="center"/>
    </xf>
    <xf numFmtId="40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0" fontId="3" fillId="0" borderId="8" xfId="0" applyNumberFormat="1" applyFont="1" applyBorder="1" applyAlignment="1">
      <alignment vertical="center"/>
    </xf>
    <xf numFmtId="38" fontId="15" fillId="0" borderId="33" xfId="2" applyNumberFormat="1" applyFont="1" applyFill="1" applyBorder="1" applyAlignment="1">
      <alignment horizontal="center" vertical="center" wrapText="1"/>
    </xf>
    <xf numFmtId="38" fontId="15" fillId="0" borderId="22" xfId="2" applyNumberFormat="1" applyFont="1" applyFill="1" applyBorder="1" applyAlignment="1">
      <alignment horizontal="center" vertical="center" wrapText="1"/>
    </xf>
    <xf numFmtId="38" fontId="15" fillId="0" borderId="39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FY2024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1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-5.2191008721703167E-2"/>
                  <c:y val="5.722492086111429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6520980263625521"/>
                      <c:h val="8.078455846916095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1.8430093429895988E-2"/>
                  <c:y val="-7.1448909044889861E-2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5704652013784135"/>
                      <c:h val="9.5730834174129822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(2024)'!$B$15:$B$16</c:f>
              <c:numCache>
                <c:formatCode>"$"#,##0_);\("$"#,##0\)</c:formatCode>
                <c:ptCount val="2"/>
                <c:pt idx="0">
                  <c:v>622911954.36001325</c:v>
                </c:pt>
                <c:pt idx="1">
                  <c:v>855177236.99999666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ser>
          <c:idx val="1"/>
          <c:order val="1"/>
          <c:cat>
            <c:strRef>
              <c:f>'DATA for CHARTS (2024)'!$B$27</c:f>
              <c:strCache>
                <c:ptCount val="1"/>
                <c:pt idx="0">
                  <c:v>TOTAL GENERAL OPERATIONS BUDGET
$1,478,089,191</c:v>
                </c:pt>
              </c:strCache>
            </c:strRef>
          </c:cat>
          <c:val>
            <c:numRef>
              <c:f>'DATA for CHARTS (2024)'!$C$27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cat>
            <c:strRef>
              <c:f>'DATA for CHARTS (2024)'!$B$27</c:f>
              <c:strCache>
                <c:ptCount val="1"/>
                <c:pt idx="0">
                  <c:v>TOTAL GENERAL OPERATIONS BUDGET
$1,478,089,191</c:v>
                </c:pt>
              </c:strCache>
            </c:strRef>
          </c:cat>
          <c:val>
            <c:numRef>
              <c:f>'DATA for CHARTS (2024)'!$D$27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cat>
            <c:strRef>
              <c:f>'DATA for CHARTS (2024)'!$B$27</c:f>
              <c:strCache>
                <c:ptCount val="1"/>
                <c:pt idx="0">
                  <c:v>TOTAL GENERAL OPERATIONS BUDGET
$1,478,089,191</c:v>
                </c:pt>
              </c:strCache>
            </c:strRef>
          </c:cat>
          <c:val>
            <c:numRef>
              <c:f>'DATA for CHARTS (2024)'!$E$27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cat>
            <c:strRef>
              <c:f>'DATA for CHARTS (2024)'!$B$27</c:f>
              <c:strCache>
                <c:ptCount val="1"/>
                <c:pt idx="0">
                  <c:v>TOTAL GENERAL OPERATIONS BUDGET
$1,478,089,191</c:v>
                </c:pt>
              </c:strCache>
            </c:strRef>
          </c:cat>
          <c:val>
            <c:numRef>
              <c:f>'DATA for CHARTS (2024)'!$F$27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819587371036997"/>
          <c:y val="0.9261519258573524"/>
          <c:w val="0.33272226127200499"/>
          <c:h val="3.39785806040817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FY2024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061212508917829"/>
          <c:y val="0.25536608452345044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3.6321826371502865E-2"/>
                  <c:y val="-6.151315629799911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10660453802351919"/>
                  <c:y val="-0.1521294514539712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6.890456041372826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10966232029421598"/>
                  <c:y val="-7.075782634172049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136214417530808"/>
                      <c:h val="8.3252928918891744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054969633309376"/>
                  <c:y val="1.532156564973631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5155882345198315"/>
                  <c:y val="6.930340444564640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6947282793261668"/>
                  <c:y val="0.1303001556773699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11582253321642"/>
                      <c:h val="5.4246674736884964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6.3233532618853963E-2"/>
                  <c:y val="9.450288991286921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165643913367397"/>
                      <c:h val="5.925006200741127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9.3364871517439552E-2"/>
                  <c:y val="2.838473460302270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1.1586044221904559E-2"/>
                  <c:y val="2.581338825381292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005386237452515"/>
                      <c:h val="6.8548878498791321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5.1986194804887101E-2"/>
                  <c:y val="5.51150590984580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3028397528543637"/>
                  <c:y val="0.1173832333045555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14021597601202557"/>
                  <c:y val="-6.424808523769402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-0.18923436977599464"/>
                  <c:y val="5.408911402587226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0.11665653127361086"/>
                  <c:y val="-1.293626935998921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9.2621170598408912E-3"/>
                  <c:y val="-0.1107085920732827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.16680856216944798"/>
                  <c:y val="-0.1258751044494603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507793258.87999654</c:v>
                </c:pt>
                <c:pt idx="1">
                  <c:v>49244185.510000005</c:v>
                </c:pt>
                <c:pt idx="2">
                  <c:v>10732099.059999991</c:v>
                </c:pt>
                <c:pt idx="3">
                  <c:v>20320.62</c:v>
                </c:pt>
                <c:pt idx="4">
                  <c:v>8860881.0500000007</c:v>
                </c:pt>
                <c:pt idx="5">
                  <c:v>38746501.549999997</c:v>
                </c:pt>
                <c:pt idx="6">
                  <c:v>54290034.609999917</c:v>
                </c:pt>
                <c:pt idx="7">
                  <c:v>10863560.980000002</c:v>
                </c:pt>
                <c:pt idx="8">
                  <c:v>104670966.78000012</c:v>
                </c:pt>
                <c:pt idx="9">
                  <c:v>45134101.430000007</c:v>
                </c:pt>
                <c:pt idx="10">
                  <c:v>22485220.449999999</c:v>
                </c:pt>
                <c:pt idx="11">
                  <c:v>877718.11999999988</c:v>
                </c:pt>
                <c:pt idx="12">
                  <c:v>4799.2499999999973</c:v>
                </c:pt>
                <c:pt idx="13">
                  <c:v>453588.70999999996</c:v>
                </c:pt>
                <c:pt idx="14">
                  <c:v>1000000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ser>
          <c:idx val="29"/>
          <c:order val="2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30"/>
          <c:order val="3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$1,478,089,191</c:v>
                </c:pt>
              </c:strCache>
            </c:strRef>
          </c:cat>
          <c:val>
            <c:numRef>
              <c:f>'DATA for CHARTS (2024)'!$C$27</c:f>
              <c:numCache>
                <c:formatCode>General</c:formatCode>
                <c:ptCount val="1"/>
              </c:numCache>
            </c:numRef>
          </c:val>
        </c:ser>
        <c:ser>
          <c:idx val="31"/>
          <c:order val="3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$1,478,089,191</c:v>
                </c:pt>
              </c:strCache>
            </c:strRef>
          </c:cat>
          <c:val>
            <c:numRef>
              <c:f>'DATA for CHARTS (2024)'!$D$27</c:f>
              <c:numCache>
                <c:formatCode>General</c:formatCode>
                <c:ptCount val="1"/>
              </c:numCache>
            </c:numRef>
          </c:val>
        </c:ser>
        <c:ser>
          <c:idx val="32"/>
          <c:order val="3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$1,478,089,191</c:v>
                </c:pt>
              </c:strCache>
            </c:strRef>
          </c:cat>
          <c:val>
            <c:numRef>
              <c:f>'DATA for CHARTS (2024)'!$E$27</c:f>
              <c:numCache>
                <c:formatCode>General</c:formatCode>
                <c:ptCount val="1"/>
              </c:numCache>
            </c:numRef>
          </c:val>
        </c:ser>
        <c:ser>
          <c:idx val="33"/>
          <c:order val="3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$1,478,089,191</c:v>
                </c:pt>
              </c:strCache>
            </c:strRef>
          </c:cat>
          <c:val>
            <c:numRef>
              <c:f>'DATA for CHARTS (2024)'!$F$27</c:f>
              <c:numCache>
                <c:formatCode>General</c:formatCode>
                <c:ptCount val="1"/>
              </c:numCache>
            </c:numRef>
          </c:val>
        </c:ser>
        <c:ser>
          <c:idx val="34"/>
          <c:order val="3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(2024)'!$I$29</c:f>
              <c:numCache>
                <c:formatCode>#,##0_);[Red]\(#,##0\)</c:formatCode>
                <c:ptCount val="1"/>
              </c:numCache>
            </c:numRef>
          </c:val>
        </c:ser>
        <c:ser>
          <c:idx val="35"/>
          <c:order val="3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(2024)'!$J$29</c:f>
              <c:numCache>
                <c:formatCode>#,##0_);[Red]\(#,##0\)</c:formatCode>
                <c:ptCount val="1"/>
              </c:numCache>
            </c:numRef>
          </c:val>
        </c:ser>
        <c:ser>
          <c:idx val="36"/>
          <c:order val="3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(2024)'!$K$29</c:f>
              <c:numCache>
                <c:formatCode>#,##0_);[Red]\(#,##0\)</c:formatCode>
                <c:ptCount val="1"/>
              </c:numCache>
            </c:numRef>
          </c:val>
        </c:ser>
        <c:ser>
          <c:idx val="37"/>
          <c:order val="3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(2024)'!$L$29</c:f>
              <c:numCache>
                <c:formatCode>#,##0_);[Red]\(#,##0\)</c:formatCode>
                <c:ptCount val="1"/>
              </c:numCache>
            </c:numRef>
          </c:val>
        </c:ser>
        <c:ser>
          <c:idx val="38"/>
          <c:order val="3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(2024)'!$I$29</c:f>
              <c:numCache>
                <c:formatCode>#,##0_);[Red]\(#,##0\)</c:formatCode>
                <c:ptCount val="1"/>
              </c:numCache>
            </c:numRef>
          </c:val>
        </c:ser>
        <c:ser>
          <c:idx val="39"/>
          <c:order val="3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(2024)'!$J$29</c:f>
              <c:numCache>
                <c:formatCode>#,##0_);[Red]\(#,##0\)</c:formatCode>
                <c:ptCount val="1"/>
              </c:numCache>
            </c:numRef>
          </c:val>
        </c:ser>
        <c:ser>
          <c:idx val="40"/>
          <c:order val="4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(2024)'!$K$29</c:f>
              <c:numCache>
                <c:formatCode>#,##0_);[Red]\(#,##0\)</c:formatCode>
                <c:ptCount val="1"/>
              </c:numCache>
            </c:numRef>
          </c:val>
        </c:ser>
        <c:ser>
          <c:idx val="41"/>
          <c:order val="4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$855,177,237</c:v>
                </c:pt>
              </c:strCache>
            </c:strRef>
          </c:cat>
          <c:val>
            <c:numRef>
              <c:f>'DATA for CHARTS (2024)'!$L$29</c:f>
              <c:numCache>
                <c:formatCode>#,##0_);[Red]\(#,##0\)</c:formatCode>
                <c:ptCount val="1"/>
              </c:numCache>
            </c:numRef>
          </c:val>
        </c:ser>
        <c:ser>
          <c:idx val="42"/>
          <c:order val="4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3"/>
          <c:order val="4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FY2024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2EE-4976-80E3-6C84EC3EF08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507793258.87999654</c:v>
                </c:pt>
                <c:pt idx="1">
                  <c:v>49244185.510000005</c:v>
                </c:pt>
                <c:pt idx="2">
                  <c:v>10732099.059999991</c:v>
                </c:pt>
                <c:pt idx="3">
                  <c:v>20320.62</c:v>
                </c:pt>
                <c:pt idx="4">
                  <c:v>8860881.0500000007</c:v>
                </c:pt>
                <c:pt idx="5">
                  <c:v>38746501.549999997</c:v>
                </c:pt>
                <c:pt idx="6">
                  <c:v>54290034.609999917</c:v>
                </c:pt>
                <c:pt idx="7">
                  <c:v>10863560.980000002</c:v>
                </c:pt>
                <c:pt idx="8">
                  <c:v>104670966.78000012</c:v>
                </c:pt>
                <c:pt idx="9">
                  <c:v>45134101.430000007</c:v>
                </c:pt>
                <c:pt idx="10">
                  <c:v>22485220.449999999</c:v>
                </c:pt>
                <c:pt idx="11">
                  <c:v>877718.11999999988</c:v>
                </c:pt>
                <c:pt idx="12">
                  <c:v>4799.2499999999973</c:v>
                </c:pt>
                <c:pt idx="13">
                  <c:v>453588.70999999996</c:v>
                </c:pt>
                <c:pt idx="14">
                  <c:v>1000000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59625720"/>
        <c:axId val="335358384"/>
      </c:barChart>
      <c:valAx>
        <c:axId val="335358384"/>
        <c:scaling>
          <c:orientation val="minMax"/>
          <c:max val="60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625720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4596257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358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FY2024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(2024)'!$B$68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(2024)'!$B$69:$B$72</c:f>
              <c:numCache>
                <c:formatCode>#,##0_);[Red]\(#,##0\)</c:formatCode>
                <c:ptCount val="4"/>
                <c:pt idx="0">
                  <c:v>920385016.21000004</c:v>
                </c:pt>
                <c:pt idx="1">
                  <c:v>9000000</c:v>
                </c:pt>
                <c:pt idx="2">
                  <c:v>524467713.62</c:v>
                </c:pt>
                <c:pt idx="3">
                  <c:v>1433772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(2024)'!$C$68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(2024)'!$C$69:$C$72</c:f>
              <c:numCache>
                <c:formatCode>#,##0_);[Red]\(#,##0\)</c:formatCode>
                <c:ptCount val="4"/>
                <c:pt idx="0">
                  <c:v>853301585.67000008</c:v>
                </c:pt>
                <c:pt idx="1">
                  <c:v>13284172.110000001</c:v>
                </c:pt>
                <c:pt idx="2">
                  <c:v>319416413.77999997</c:v>
                </c:pt>
                <c:pt idx="3">
                  <c:v>144688.56999999998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(2024)'!$R$55</c:f>
              <c:strCache>
                <c:ptCount val="1"/>
                <c:pt idx="0">
                  <c:v>(LOCAL &amp; OTHER)  Budgeted: $930,818,788  Actual: $866,730,446  93.11%
(STATE)  Budgeted: $524,467,714  Actual: $319,416,414   60.90%
TOTAL Budgeted: $1,455,286,502  Actual: $1,186,146,860   81.51%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(2024)'!$R$55</c:f>
              <c:strCache>
                <c:ptCount val="1"/>
                <c:pt idx="0">
                  <c:v>(LOCAL &amp; OTHER)  Budgeted: $930,818,788  Actual: $866,730,446  93.11%
(STATE)  Budgeted: $524,467,714  Actual: $319,416,414   60.90%
TOTAL Budgeted: $1,455,286,502  Actual: $1,186,146,860   81.51%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626504"/>
        <c:axId val="45962689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(2024)'!$A$69:$A$72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$866,730,446  93.11%
(STATE)  Budgeted: $524,467,714  Actual: $319,416,414   60.90%
TOTAL Budgeted: $1,455,286,502  Actual: $1,186,146,860   81.51%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$866,730,446  93.11%
(STATE)  Budgeted: $524,467,714  Actual: $319,416,414   60.90%
TOTAL Budgeted: $1,455,286,502  Actual: $1,186,146,860   81.51%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$866,730,446  93.11%
(STATE)  Budgeted: $524,467,714  Actual: $319,416,414   60.90%
TOTAL Budgeted: $1,455,286,502  Actual: $1,186,146,860   81.51%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$866,730,446  93.11%
(STATE)  Budgeted: $524,467,714  Actual: $319,416,414   60.90%
TOTAL Budgeted: $1,455,286,502  Actual: $1,186,146,860   81.51%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459626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626896"/>
        <c:crosses val="autoZero"/>
        <c:auto val="1"/>
        <c:lblAlgn val="ctr"/>
        <c:lblOffset val="500"/>
        <c:noMultiLvlLbl val="0"/>
      </c:catAx>
      <c:valAx>
        <c:axId val="45962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626504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2874889371936"/>
          <c:h val="6.34312996292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6"/>
  <sheetViews>
    <sheetView zoomScale="106" workbookViewId="0"/>
  </sheetViews>
  <pageMargins left="0.25" right="0.25" top="0.25" bottom="0.2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4)'!$B$27:$F$27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52" y="974828"/>
          <a:ext cx="5716847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$1,478,089,191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$855,177,237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TOTAL GENERAL OPERATIONS BUDGET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$1,478,089,191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8042" cy="72156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$930,818,788  Actual: $866,730,446  93.11%</a:t>
          </a:r>
        </a:p>
        <a:p xmlns:a="http://schemas.openxmlformats.org/drawingml/2006/main">
          <a:pPr algn="ctr"/>
          <a:r>
            <a:rPr lang="en-US" sz="1100"/>
            <a:t>(STATE)  Budgeted: $524,467,714  Actual: $319,416,414   60.90%</a:t>
          </a:r>
        </a:p>
        <a:p xmlns:a="http://schemas.openxmlformats.org/drawingml/2006/main">
          <a:pPr algn="ctr"/>
          <a:r>
            <a:rPr lang="en-US" sz="1100"/>
            <a:t>TOTAL Budgeted: $1,455,286,502  Actual: $1,186,146,860   81.51%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89"/>
  <sheetViews>
    <sheetView tabSelected="1" workbookViewId="0">
      <selection sqref="A1:I1"/>
    </sheetView>
  </sheetViews>
  <sheetFormatPr defaultRowHeight="15" x14ac:dyDescent="0.25"/>
  <cols>
    <col min="1" max="1" width="49.7109375" style="1" bestFit="1" customWidth="1"/>
    <col min="2" max="2" width="19.140625" style="29" bestFit="1" customWidth="1"/>
    <col min="3" max="3" width="21" style="29" bestFit="1" customWidth="1"/>
    <col min="4" max="4" width="14.42578125" style="29" bestFit="1" customWidth="1"/>
    <col min="5" max="5" width="16.140625" style="29" bestFit="1" customWidth="1"/>
    <col min="6" max="6" width="16.28515625" style="29" customWidth="1"/>
    <col min="7" max="7" width="16.140625" style="29" bestFit="1" customWidth="1"/>
    <col min="8" max="8" width="14.7109375" style="29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33" bestFit="1" customWidth="1"/>
    <col min="17" max="17" width="13.5703125" style="133" bestFit="1" customWidth="1"/>
    <col min="18" max="16384" width="9.140625" style="1"/>
  </cols>
  <sheetData>
    <row r="1" spans="1:23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L1" s="134"/>
      <c r="M1" s="134"/>
      <c r="N1" s="134"/>
      <c r="O1" s="134"/>
      <c r="P1" s="134"/>
    </row>
    <row r="2" spans="1:23" ht="18.75" x14ac:dyDescent="0.3">
      <c r="A2" s="155" t="s">
        <v>75</v>
      </c>
      <c r="B2" s="155"/>
      <c r="C2" s="155"/>
      <c r="D2" s="155"/>
      <c r="E2" s="155"/>
      <c r="F2" s="155"/>
      <c r="G2" s="155"/>
      <c r="H2" s="155"/>
      <c r="I2" s="155"/>
      <c r="L2" s="134"/>
      <c r="M2" s="134"/>
      <c r="N2" s="134"/>
      <c r="O2" s="134"/>
      <c r="P2" s="134"/>
    </row>
    <row r="3" spans="1:23" x14ac:dyDescent="0.25">
      <c r="A3" s="154" t="s">
        <v>1</v>
      </c>
      <c r="B3" s="154"/>
      <c r="C3" s="154"/>
      <c r="D3" s="154"/>
      <c r="E3" s="154"/>
      <c r="F3" s="154"/>
      <c r="G3" s="154"/>
      <c r="H3" s="154"/>
      <c r="I3" s="154"/>
      <c r="L3" s="134"/>
      <c r="M3" s="134"/>
      <c r="N3" s="134"/>
      <c r="O3" s="134"/>
      <c r="P3" s="134"/>
    </row>
    <row r="4" spans="1:23" x14ac:dyDescent="0.25">
      <c r="A4" s="156">
        <v>45351</v>
      </c>
      <c r="B4" s="156"/>
      <c r="C4" s="156"/>
      <c r="D4" s="156"/>
      <c r="E4" s="156"/>
      <c r="F4" s="156"/>
      <c r="G4" s="156"/>
      <c r="H4" s="156"/>
      <c r="I4" s="156"/>
      <c r="L4" s="134"/>
      <c r="M4" s="134"/>
      <c r="N4" s="134"/>
      <c r="O4" s="134"/>
      <c r="P4" s="134"/>
    </row>
    <row r="5" spans="1:23" x14ac:dyDescent="0.25">
      <c r="A5" s="154" t="s">
        <v>2</v>
      </c>
      <c r="B5" s="154"/>
      <c r="C5" s="154"/>
      <c r="D5" s="154"/>
      <c r="E5" s="154"/>
      <c r="F5" s="154"/>
      <c r="G5" s="154"/>
      <c r="H5" s="154"/>
      <c r="I5" s="154"/>
      <c r="L5" s="134"/>
      <c r="M5" s="134"/>
      <c r="N5" s="134"/>
      <c r="O5" s="134"/>
      <c r="P5" s="134"/>
    </row>
    <row r="6" spans="1:23" ht="15.75" thickBot="1" x14ac:dyDescent="0.3">
      <c r="A6" s="154"/>
      <c r="B6" s="154"/>
      <c r="C6" s="154"/>
      <c r="D6" s="154"/>
      <c r="E6" s="154"/>
      <c r="F6" s="154"/>
      <c r="G6" s="154"/>
      <c r="H6" s="154"/>
      <c r="I6" s="154"/>
      <c r="L6" s="134"/>
      <c r="M6" s="134"/>
      <c r="N6" s="134"/>
      <c r="O6" s="134"/>
      <c r="P6" s="134"/>
    </row>
    <row r="7" spans="1:23" s="5" customFormat="1" ht="45.75" thickBot="1" x14ac:dyDescent="0.25">
      <c r="A7" s="2" t="s">
        <v>32</v>
      </c>
      <c r="B7" s="31" t="s">
        <v>34</v>
      </c>
      <c r="C7" s="31" t="s">
        <v>33</v>
      </c>
      <c r="D7" s="31" t="s">
        <v>3</v>
      </c>
      <c r="E7" s="31" t="s">
        <v>4</v>
      </c>
      <c r="F7" s="31" t="s">
        <v>5</v>
      </c>
      <c r="G7" s="31" t="s">
        <v>6</v>
      </c>
      <c r="H7" s="31" t="s">
        <v>7</v>
      </c>
      <c r="I7" s="4" t="s">
        <v>31</v>
      </c>
      <c r="L7" s="134"/>
      <c r="M7" s="134"/>
      <c r="N7" s="134"/>
      <c r="O7" s="134"/>
      <c r="P7" s="134"/>
      <c r="Q7" s="134"/>
    </row>
    <row r="8" spans="1:23" s="5" customFormat="1" x14ac:dyDescent="0.2">
      <c r="A8" s="6" t="s">
        <v>8</v>
      </c>
      <c r="B8" s="7">
        <v>920399645.21000004</v>
      </c>
      <c r="C8" s="7">
        <v>920385016.21000004</v>
      </c>
      <c r="D8" s="7">
        <v>5712717.3100000005</v>
      </c>
      <c r="E8" s="7">
        <v>853301585.67000008</v>
      </c>
      <c r="F8" s="7">
        <v>0</v>
      </c>
      <c r="G8" s="7">
        <f t="shared" ref="G8:G28" si="0">SUM(E8:F8)</f>
        <v>853301585.67000008</v>
      </c>
      <c r="H8" s="7">
        <f t="shared" ref="H8:H11" si="1">C8-G8</f>
        <v>67083430.539999962</v>
      </c>
      <c r="I8" s="34">
        <f>IF(C8=0,"NA",H8/C8)</f>
        <v>7.2886269722467797E-2</v>
      </c>
      <c r="L8"/>
      <c r="M8" s="135"/>
      <c r="N8" s="135"/>
      <c r="O8" s="135"/>
      <c r="P8" s="135"/>
      <c r="Q8" s="135"/>
      <c r="S8" s="134"/>
      <c r="T8" s="134"/>
      <c r="U8" s="134"/>
      <c r="V8" s="134"/>
      <c r="W8" s="134"/>
    </row>
    <row r="9" spans="1:23" s="5" customFormat="1" x14ac:dyDescent="0.2">
      <c r="A9" s="6" t="s">
        <v>9</v>
      </c>
      <c r="B9" s="7">
        <v>9000000</v>
      </c>
      <c r="C9" s="7">
        <v>9000000</v>
      </c>
      <c r="D9" s="7">
        <v>2908101.15</v>
      </c>
      <c r="E9" s="7">
        <v>13284172.109999999</v>
      </c>
      <c r="F9" s="7">
        <v>0</v>
      </c>
      <c r="G9" s="7">
        <f>SUM(E9:F9)</f>
        <v>13284172.109999999</v>
      </c>
      <c r="H9" s="7">
        <f>C9-G9</f>
        <v>-4284172.1099999994</v>
      </c>
      <c r="I9" s="34">
        <f t="shared" ref="I9:I28" si="2">IF(C9=0,"NA",H9/C9)</f>
        <v>-0.47601912333333329</v>
      </c>
      <c r="L9"/>
      <c r="M9" s="135"/>
      <c r="N9" s="135"/>
      <c r="O9" s="135"/>
      <c r="P9" s="135"/>
      <c r="Q9" s="135"/>
      <c r="S9" s="134"/>
      <c r="T9" s="134"/>
      <c r="U9" s="134"/>
      <c r="V9" s="134"/>
      <c r="W9" s="134"/>
    </row>
    <row r="10" spans="1:23" s="5" customFormat="1" x14ac:dyDescent="0.2">
      <c r="A10" s="6" t="s">
        <v>10</v>
      </c>
      <c r="B10" s="7">
        <v>523845317.62</v>
      </c>
      <c r="C10" s="7">
        <v>524467713.62</v>
      </c>
      <c r="D10" s="7">
        <v>42694681.560000002</v>
      </c>
      <c r="E10" s="7">
        <v>319416413.77999997</v>
      </c>
      <c r="F10" s="7">
        <v>0</v>
      </c>
      <c r="G10" s="7">
        <f t="shared" si="0"/>
        <v>319416413.77999997</v>
      </c>
      <c r="H10" s="7">
        <f t="shared" si="1"/>
        <v>205051299.84000003</v>
      </c>
      <c r="I10" s="34">
        <f t="shared" si="2"/>
        <v>0.39097030096416718</v>
      </c>
      <c r="L10"/>
      <c r="M10" s="135"/>
      <c r="N10" s="135"/>
      <c r="O10" s="135"/>
      <c r="P10" s="135"/>
      <c r="Q10" s="135"/>
      <c r="S10" s="134"/>
      <c r="T10" s="134"/>
      <c r="U10" s="134"/>
      <c r="V10" s="134"/>
      <c r="W10" s="134"/>
    </row>
    <row r="11" spans="1:23" s="5" customFormat="1" x14ac:dyDescent="0.2">
      <c r="A11" s="6" t="s">
        <v>11</v>
      </c>
      <c r="B11" s="7">
        <v>1433772</v>
      </c>
      <c r="C11" s="7">
        <v>1433772</v>
      </c>
      <c r="D11" s="7">
        <v>0</v>
      </c>
      <c r="E11" s="7">
        <v>144688.56999999998</v>
      </c>
      <c r="F11" s="7">
        <v>0</v>
      </c>
      <c r="G11" s="7">
        <f t="shared" si="0"/>
        <v>144688.56999999998</v>
      </c>
      <c r="H11" s="7">
        <f t="shared" si="1"/>
        <v>1289083.43</v>
      </c>
      <c r="I11" s="34">
        <f t="shared" si="2"/>
        <v>0.89908537061680649</v>
      </c>
      <c r="L11"/>
      <c r="M11" s="135"/>
      <c r="N11" s="135"/>
      <c r="O11" s="135"/>
      <c r="P11" s="135"/>
      <c r="Q11" s="135"/>
      <c r="S11" s="134"/>
      <c r="T11" s="134"/>
      <c r="U11" s="134"/>
      <c r="V11" s="134"/>
      <c r="W11" s="134"/>
    </row>
    <row r="12" spans="1:23" s="5" customFormat="1" ht="24.95" customHeight="1" x14ac:dyDescent="0.25">
      <c r="A12" s="10" t="s">
        <v>12</v>
      </c>
      <c r="B12" s="11">
        <f t="shared" ref="B12:H12" si="3">SUM(B8:B11)</f>
        <v>1454678734.8299999</v>
      </c>
      <c r="C12" s="11">
        <f t="shared" si="3"/>
        <v>1455286501.8299999</v>
      </c>
      <c r="D12" s="11">
        <f t="shared" si="3"/>
        <v>51315500.020000003</v>
      </c>
      <c r="E12" s="11">
        <f t="shared" si="3"/>
        <v>1186146860.1299999</v>
      </c>
      <c r="F12" s="11">
        <f t="shared" si="3"/>
        <v>0</v>
      </c>
      <c r="G12" s="11">
        <f t="shared" si="3"/>
        <v>1186146860.1299999</v>
      </c>
      <c r="H12" s="11">
        <f t="shared" si="3"/>
        <v>269139641.69999999</v>
      </c>
      <c r="I12" s="35">
        <f t="shared" si="2"/>
        <v>0.18493928265091522</v>
      </c>
      <c r="L12" s="1"/>
      <c r="M12" s="1"/>
      <c r="N12" s="1"/>
      <c r="O12" s="1"/>
      <c r="P12" s="133"/>
      <c r="Q12" s="1"/>
      <c r="R12" s="1"/>
      <c r="S12" s="1"/>
    </row>
    <row r="13" spans="1:23" s="5" customFormat="1" x14ac:dyDescent="0.25">
      <c r="A13" s="12" t="s">
        <v>13</v>
      </c>
      <c r="B13" s="13">
        <v>823739509.840011</v>
      </c>
      <c r="C13" s="13">
        <v>829598513.08001041</v>
      </c>
      <c r="D13" s="13">
        <v>67745494.689999998</v>
      </c>
      <c r="E13" s="13">
        <v>507793258.87999648</v>
      </c>
      <c r="F13" s="13">
        <v>6554757.6500000078</v>
      </c>
      <c r="G13" s="13">
        <f t="shared" si="0"/>
        <v>514348016.52999651</v>
      </c>
      <c r="H13" s="13">
        <f t="shared" ref="H13:H28" si="4">C13-G13</f>
        <v>315250496.5500139</v>
      </c>
      <c r="I13" s="34">
        <f t="shared" si="2"/>
        <v>0.38000369043526677</v>
      </c>
      <c r="L13" s="133"/>
      <c r="M13" s="133"/>
      <c r="N13" s="133"/>
      <c r="O13" s="133"/>
      <c r="P13" s="133"/>
      <c r="Q13" s="134"/>
      <c r="S13" s="134"/>
      <c r="T13" s="134"/>
      <c r="U13" s="134"/>
      <c r="V13" s="134"/>
      <c r="W13" s="134"/>
    </row>
    <row r="14" spans="1:23" s="5" customFormat="1" x14ac:dyDescent="0.25">
      <c r="A14" s="6" t="s">
        <v>14</v>
      </c>
      <c r="B14" s="7">
        <v>93507172.169999838</v>
      </c>
      <c r="C14" s="7">
        <v>95402716.499999836</v>
      </c>
      <c r="D14" s="7">
        <v>6832232.7299999874</v>
      </c>
      <c r="E14" s="7">
        <v>49244185.510000005</v>
      </c>
      <c r="F14" s="7">
        <v>1613785.51</v>
      </c>
      <c r="G14" s="7">
        <f t="shared" si="0"/>
        <v>50857971.020000003</v>
      </c>
      <c r="H14" s="7">
        <f t="shared" si="4"/>
        <v>44544745.479999833</v>
      </c>
      <c r="I14" s="34">
        <f t="shared" si="2"/>
        <v>0.46691275798210535</v>
      </c>
      <c r="L14" s="133"/>
      <c r="M14" s="133"/>
      <c r="N14" s="133"/>
      <c r="O14" s="133"/>
      <c r="P14" s="133"/>
      <c r="Q14" s="134"/>
      <c r="S14" s="134"/>
      <c r="T14" s="134"/>
      <c r="U14" s="134"/>
      <c r="V14" s="134"/>
      <c r="W14" s="134"/>
    </row>
    <row r="15" spans="1:23" s="5" customFormat="1" x14ac:dyDescent="0.25">
      <c r="A15" s="6" t="s">
        <v>15</v>
      </c>
      <c r="B15" s="7">
        <v>17696254.909999996</v>
      </c>
      <c r="C15" s="7">
        <v>18047955.769999996</v>
      </c>
      <c r="D15" s="7">
        <v>1081360.22</v>
      </c>
      <c r="E15" s="7">
        <v>10732099.059999993</v>
      </c>
      <c r="F15" s="7">
        <v>214639.28999999992</v>
      </c>
      <c r="G15" s="7">
        <f t="shared" si="0"/>
        <v>10946738.349999992</v>
      </c>
      <c r="H15" s="7">
        <f t="shared" si="4"/>
        <v>7101217.4200000037</v>
      </c>
      <c r="I15" s="34">
        <f t="shared" si="2"/>
        <v>0.39346380889318888</v>
      </c>
      <c r="L15" s="133"/>
      <c r="M15" s="133"/>
      <c r="N15" s="133"/>
      <c r="O15" s="133"/>
      <c r="P15" s="133"/>
      <c r="Q15" s="134"/>
      <c r="S15" s="134"/>
      <c r="T15" s="134"/>
      <c r="U15" s="134"/>
      <c r="V15" s="134"/>
      <c r="W15" s="134"/>
    </row>
    <row r="16" spans="1:23" s="5" customFormat="1" x14ac:dyDescent="0.2">
      <c r="A16" s="6" t="s">
        <v>16</v>
      </c>
      <c r="B16" s="7">
        <v>1041887.36</v>
      </c>
      <c r="C16" s="7">
        <v>1069525.3599999999</v>
      </c>
      <c r="D16" s="7">
        <v>2955</v>
      </c>
      <c r="E16" s="7">
        <v>20320.62</v>
      </c>
      <c r="F16" s="7">
        <v>38774.5</v>
      </c>
      <c r="G16" s="7">
        <f t="shared" si="0"/>
        <v>59095.119999999995</v>
      </c>
      <c r="H16" s="7">
        <f t="shared" si="4"/>
        <v>1010430.2399999999</v>
      </c>
      <c r="I16" s="34">
        <f t="shared" si="2"/>
        <v>0.94474640601322446</v>
      </c>
      <c r="M16" s="134"/>
      <c r="N16" s="134"/>
      <c r="O16" s="134"/>
      <c r="P16" s="134"/>
      <c r="Q16" s="134"/>
      <c r="S16" s="134"/>
      <c r="T16" s="134"/>
      <c r="U16" s="134"/>
      <c r="V16" s="134"/>
      <c r="W16" s="134"/>
    </row>
    <row r="17" spans="1:23" s="5" customFormat="1" x14ac:dyDescent="0.2">
      <c r="A17" s="6" t="s">
        <v>17</v>
      </c>
      <c r="B17" s="7">
        <v>16806266.969999984</v>
      </c>
      <c r="C17" s="7">
        <v>16839409.79999999</v>
      </c>
      <c r="D17" s="7">
        <v>1396055.85</v>
      </c>
      <c r="E17" s="7">
        <v>8860881.0499999952</v>
      </c>
      <c r="F17" s="7">
        <v>101206.51</v>
      </c>
      <c r="G17" s="7">
        <f t="shared" si="0"/>
        <v>8962087.5599999949</v>
      </c>
      <c r="H17" s="7">
        <f t="shared" si="4"/>
        <v>7877322.2399999946</v>
      </c>
      <c r="I17" s="34">
        <f t="shared" si="2"/>
        <v>0.46779087471343561</v>
      </c>
      <c r="M17" s="134"/>
      <c r="N17" s="134"/>
      <c r="O17" s="134"/>
      <c r="P17" s="134"/>
      <c r="Q17" s="134"/>
      <c r="S17" s="134"/>
      <c r="T17" s="134"/>
      <c r="U17" s="134"/>
      <c r="V17" s="134"/>
      <c r="W17" s="134"/>
    </row>
    <row r="18" spans="1:23" s="5" customFormat="1" x14ac:dyDescent="0.2">
      <c r="A18" s="6" t="s">
        <v>18</v>
      </c>
      <c r="B18" s="7">
        <v>63460019.679999761</v>
      </c>
      <c r="C18" s="7">
        <v>62563340.409999765</v>
      </c>
      <c r="D18" s="7">
        <v>2421306.0699999989</v>
      </c>
      <c r="E18" s="7">
        <v>38746501.550000004</v>
      </c>
      <c r="F18" s="7">
        <v>390772.8299999999</v>
      </c>
      <c r="G18" s="7">
        <f t="shared" si="0"/>
        <v>39137274.380000003</v>
      </c>
      <c r="H18" s="7">
        <f t="shared" si="4"/>
        <v>23426066.029999763</v>
      </c>
      <c r="I18" s="34">
        <f t="shared" si="2"/>
        <v>0.37443758399855953</v>
      </c>
      <c r="M18" s="134"/>
      <c r="N18" s="134"/>
      <c r="O18" s="134"/>
      <c r="P18" s="134"/>
      <c r="Q18" s="134"/>
      <c r="S18" s="134"/>
      <c r="T18" s="134"/>
      <c r="U18" s="134"/>
      <c r="V18" s="134"/>
      <c r="W18" s="134"/>
    </row>
    <row r="19" spans="1:23" s="5" customFormat="1" x14ac:dyDescent="0.2">
      <c r="A19" s="6" t="s">
        <v>19</v>
      </c>
      <c r="B19" s="7">
        <v>83936113.200001121</v>
      </c>
      <c r="C19" s="7">
        <v>83922113.200001121</v>
      </c>
      <c r="D19" s="7">
        <v>6814553.1700000009</v>
      </c>
      <c r="E19" s="7">
        <v>54290034.609999999</v>
      </c>
      <c r="F19" s="7">
        <v>0</v>
      </c>
      <c r="G19" s="7">
        <f t="shared" si="0"/>
        <v>54290034.609999999</v>
      </c>
      <c r="H19" s="7">
        <f t="shared" si="4"/>
        <v>29632078.590001121</v>
      </c>
      <c r="I19" s="34">
        <f t="shared" si="2"/>
        <v>0.35309023402905354</v>
      </c>
      <c r="M19" s="134"/>
      <c r="N19" s="134"/>
      <c r="O19" s="134"/>
      <c r="P19" s="134"/>
      <c r="Q19" s="134"/>
      <c r="S19" s="134"/>
      <c r="T19" s="134"/>
      <c r="U19" s="134"/>
      <c r="V19" s="134"/>
      <c r="W19" s="134"/>
    </row>
    <row r="20" spans="1:23" s="5" customFormat="1" x14ac:dyDescent="0.2">
      <c r="A20" s="6" t="s">
        <v>20</v>
      </c>
      <c r="B20" s="7">
        <v>27492238.539999999</v>
      </c>
      <c r="C20" s="7">
        <v>19631920.329999994</v>
      </c>
      <c r="D20" s="7">
        <v>1275998.9099999999</v>
      </c>
      <c r="E20" s="7">
        <v>10863560.980000002</v>
      </c>
      <c r="F20" s="7">
        <v>1242921.1499999997</v>
      </c>
      <c r="G20" s="7">
        <f t="shared" si="0"/>
        <v>12106482.130000003</v>
      </c>
      <c r="H20" s="7">
        <f t="shared" si="4"/>
        <v>7525438.1999999918</v>
      </c>
      <c r="I20" s="34">
        <f t="shared" si="2"/>
        <v>0.3833266472918696</v>
      </c>
      <c r="M20" s="134"/>
      <c r="N20" s="134"/>
      <c r="O20" s="134"/>
      <c r="P20" s="134"/>
      <c r="Q20" s="134"/>
      <c r="S20" s="134"/>
      <c r="T20" s="134"/>
      <c r="U20" s="134"/>
      <c r="V20" s="134"/>
      <c r="W20" s="134"/>
    </row>
    <row r="21" spans="1:23" s="5" customFormat="1" x14ac:dyDescent="0.2">
      <c r="A21" s="6" t="s">
        <v>70</v>
      </c>
      <c r="B21" s="7">
        <v>221490060.35000008</v>
      </c>
      <c r="C21" s="7">
        <v>218766865.60000011</v>
      </c>
      <c r="D21" s="7">
        <v>12937486.620000008</v>
      </c>
      <c r="E21" s="7">
        <v>104670966.78000006</v>
      </c>
      <c r="F21" s="7">
        <v>21601093.880000003</v>
      </c>
      <c r="G21" s="7">
        <f t="shared" si="0"/>
        <v>126272060.66000006</v>
      </c>
      <c r="H21" s="7">
        <f t="shared" si="4"/>
        <v>92494804.940000057</v>
      </c>
      <c r="I21" s="34">
        <f t="shared" si="2"/>
        <v>0.42280079611836796</v>
      </c>
      <c r="M21" s="134"/>
      <c r="N21" s="134"/>
      <c r="O21" s="134"/>
      <c r="P21" s="134"/>
      <c r="Q21" s="134"/>
      <c r="S21" s="134"/>
      <c r="T21" s="134"/>
      <c r="U21" s="134"/>
      <c r="V21" s="134"/>
      <c r="W21" s="134"/>
    </row>
    <row r="22" spans="1:23" s="5" customFormat="1" x14ac:dyDescent="0.2">
      <c r="A22" s="6" t="s">
        <v>21</v>
      </c>
      <c r="B22" s="7">
        <v>79886601</v>
      </c>
      <c r="C22" s="7">
        <v>84378086.019999996</v>
      </c>
      <c r="D22" s="7">
        <v>7040460.370000001</v>
      </c>
      <c r="E22" s="7">
        <v>45134101.429999985</v>
      </c>
      <c r="F22" s="7">
        <v>8972267.6899999995</v>
      </c>
      <c r="G22" s="7">
        <f t="shared" si="0"/>
        <v>54106369.119999982</v>
      </c>
      <c r="H22" s="7">
        <f t="shared" si="4"/>
        <v>30271716.900000013</v>
      </c>
      <c r="I22" s="34">
        <f t="shared" si="2"/>
        <v>0.35876278223263752</v>
      </c>
      <c r="M22" s="134"/>
      <c r="N22" s="134"/>
      <c r="O22" s="134"/>
      <c r="P22" s="134"/>
      <c r="Q22" s="134"/>
      <c r="S22" s="134"/>
      <c r="T22" s="134"/>
      <c r="U22" s="134"/>
      <c r="V22" s="134"/>
      <c r="W22" s="134"/>
    </row>
    <row r="23" spans="1:23" s="5" customFormat="1" x14ac:dyDescent="0.2">
      <c r="A23" s="6" t="s">
        <v>22</v>
      </c>
      <c r="B23" s="7">
        <v>33141661.300000001</v>
      </c>
      <c r="C23" s="7">
        <v>36340988.920000002</v>
      </c>
      <c r="D23" s="7">
        <v>2671104.310000001</v>
      </c>
      <c r="E23" s="7">
        <v>22485220.450000007</v>
      </c>
      <c r="F23" s="7">
        <v>1990904.84</v>
      </c>
      <c r="G23" s="7">
        <f t="shared" si="0"/>
        <v>24476125.290000007</v>
      </c>
      <c r="H23" s="7">
        <f t="shared" si="4"/>
        <v>11864863.629999995</v>
      </c>
      <c r="I23" s="34">
        <f t="shared" si="2"/>
        <v>0.32648708751759514</v>
      </c>
      <c r="M23" s="134"/>
      <c r="N23" s="134"/>
      <c r="O23" s="134"/>
      <c r="P23" s="134"/>
      <c r="Q23" s="134"/>
      <c r="S23" s="134"/>
      <c r="T23" s="134"/>
      <c r="U23" s="134"/>
      <c r="V23" s="134"/>
      <c r="W23" s="134"/>
    </row>
    <row r="24" spans="1:23" s="5" customFormat="1" x14ac:dyDescent="0.25">
      <c r="A24" s="6" t="s">
        <v>23</v>
      </c>
      <c r="B24" s="7">
        <v>3431416.47</v>
      </c>
      <c r="C24" s="7">
        <v>3289790.72</v>
      </c>
      <c r="D24" s="7">
        <v>146086.66999999998</v>
      </c>
      <c r="E24" s="7">
        <v>877718.11999999988</v>
      </c>
      <c r="F24" s="7">
        <v>0</v>
      </c>
      <c r="G24" s="7">
        <f t="shared" si="0"/>
        <v>877718.11999999988</v>
      </c>
      <c r="H24" s="7">
        <f t="shared" si="4"/>
        <v>2412072.6000000006</v>
      </c>
      <c r="I24" s="34">
        <f t="shared" si="2"/>
        <v>0.73319940546248497</v>
      </c>
      <c r="L24" s="1"/>
      <c r="M24" s="133"/>
      <c r="N24" s="133"/>
      <c r="O24" s="133"/>
      <c r="P24" s="133"/>
      <c r="Q24" s="133"/>
      <c r="S24" s="134"/>
      <c r="T24" s="134"/>
      <c r="U24" s="134"/>
      <c r="V24" s="134"/>
      <c r="W24" s="134"/>
    </row>
    <row r="25" spans="1:23" s="5" customFormat="1" x14ac:dyDescent="0.25">
      <c r="A25" s="6" t="s">
        <v>29</v>
      </c>
      <c r="B25" s="7">
        <v>335000</v>
      </c>
      <c r="C25" s="7">
        <v>335000</v>
      </c>
      <c r="D25" s="7">
        <v>0</v>
      </c>
      <c r="E25" s="7">
        <v>4799.2499999999973</v>
      </c>
      <c r="F25" s="7">
        <v>0</v>
      </c>
      <c r="G25" s="7">
        <f t="shared" si="0"/>
        <v>4799.2499999999973</v>
      </c>
      <c r="H25" s="7">
        <f t="shared" si="4"/>
        <v>330200.75</v>
      </c>
      <c r="I25" s="34">
        <f t="shared" si="2"/>
        <v>0.98567388059701488</v>
      </c>
      <c r="L25" s="1"/>
      <c r="M25" s="133"/>
      <c r="N25" s="133"/>
      <c r="O25" s="133"/>
      <c r="P25" s="133"/>
      <c r="Q25" s="133"/>
      <c r="S25" s="134"/>
      <c r="T25" s="134"/>
      <c r="U25" s="134"/>
      <c r="V25" s="134"/>
      <c r="W25" s="134"/>
    </row>
    <row r="26" spans="1:23" s="5" customFormat="1" x14ac:dyDescent="0.25">
      <c r="A26" s="6" t="s">
        <v>30</v>
      </c>
      <c r="B26" s="7">
        <v>61672.05</v>
      </c>
      <c r="C26" s="7">
        <v>61672.05</v>
      </c>
      <c r="D26" s="7">
        <v>75139.42</v>
      </c>
      <c r="E26" s="7">
        <v>453588.70999999996</v>
      </c>
      <c r="F26" s="7">
        <v>0</v>
      </c>
      <c r="G26" s="7">
        <f t="shared" ref="G26" si="5">SUM(E26:F26)</f>
        <v>453588.70999999996</v>
      </c>
      <c r="H26" s="7">
        <f t="shared" ref="H26" si="6">C26-G26</f>
        <v>-391916.66</v>
      </c>
      <c r="I26" s="34">
        <f t="shared" ref="I26" si="7">IF(C26=0,"NA",H26/C26)</f>
        <v>-6.3548505360207734</v>
      </c>
      <c r="K26" s="1"/>
      <c r="L26" s="1"/>
      <c r="M26" s="133"/>
      <c r="N26" s="133"/>
      <c r="O26" s="133"/>
      <c r="P26" s="133"/>
      <c r="Q26" s="133"/>
      <c r="R26" s="1"/>
      <c r="S26" s="134"/>
      <c r="T26" s="134"/>
      <c r="U26" s="134"/>
      <c r="V26" s="134"/>
      <c r="W26" s="134"/>
    </row>
    <row r="27" spans="1:23" s="5" customFormat="1" x14ac:dyDescent="0.25">
      <c r="A27" s="6" t="s">
        <v>25</v>
      </c>
      <c r="B27" s="7">
        <v>8341293.6000000006</v>
      </c>
      <c r="C27" s="7">
        <v>7841293.6000000006</v>
      </c>
      <c r="D27" s="7">
        <v>0</v>
      </c>
      <c r="E27" s="7">
        <v>1000000</v>
      </c>
      <c r="F27" s="7">
        <v>0</v>
      </c>
      <c r="G27" s="7">
        <f t="shared" si="0"/>
        <v>1000000</v>
      </c>
      <c r="H27" s="7">
        <f t="shared" si="4"/>
        <v>6841293.6000000006</v>
      </c>
      <c r="I27" s="34">
        <f t="shared" si="2"/>
        <v>0.87247002203820045</v>
      </c>
      <c r="K27" s="1"/>
      <c r="L27" s="1"/>
      <c r="M27" s="1"/>
      <c r="N27" s="1"/>
      <c r="O27" s="1"/>
      <c r="P27" s="1"/>
      <c r="Q27" s="1"/>
      <c r="R27" s="1"/>
      <c r="S27" s="134"/>
      <c r="T27" s="134"/>
      <c r="U27" s="134"/>
      <c r="V27" s="134"/>
      <c r="W27" s="134"/>
    </row>
    <row r="28" spans="1:23" s="5" customFormat="1" x14ac:dyDescent="0.25">
      <c r="A28" s="6" t="s">
        <v>24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0"/>
        <v>0</v>
      </c>
      <c r="H28" s="7">
        <f t="shared" si="4"/>
        <v>0</v>
      </c>
      <c r="I28" s="34" t="str">
        <f t="shared" si="2"/>
        <v>NA</v>
      </c>
      <c r="K28" s="1"/>
      <c r="L28" s="1"/>
      <c r="M28" s="1"/>
      <c r="N28" s="1"/>
      <c r="O28" s="1"/>
      <c r="P28" s="1"/>
      <c r="Q28" s="1"/>
      <c r="R28" s="1"/>
      <c r="S28" s="1"/>
      <c r="T28" s="134"/>
      <c r="U28" s="134"/>
      <c r="V28" s="134"/>
      <c r="W28" s="134"/>
    </row>
    <row r="29" spans="1:23" s="5" customFormat="1" ht="24.95" customHeight="1" x14ac:dyDescent="0.25">
      <c r="A29" s="10" t="s">
        <v>26</v>
      </c>
      <c r="B29" s="11">
        <f t="shared" ref="B29:H29" si="8">SUM(B13:B28)</f>
        <v>1474367167.4400115</v>
      </c>
      <c r="C29" s="11">
        <f t="shared" si="8"/>
        <v>1478089191.3600111</v>
      </c>
      <c r="D29" s="11">
        <f t="shared" si="8"/>
        <v>110440234.02999999</v>
      </c>
      <c r="E29" s="11">
        <f t="shared" si="8"/>
        <v>855177236.99999654</v>
      </c>
      <c r="F29" s="11">
        <f t="shared" si="8"/>
        <v>42721123.850000009</v>
      </c>
      <c r="G29" s="11">
        <f t="shared" si="8"/>
        <v>897898360.84999657</v>
      </c>
      <c r="H29" s="11">
        <f t="shared" si="8"/>
        <v>580190830.51001477</v>
      </c>
      <c r="I29" s="35">
        <f>IF(C29=0,"NA",H29/C29)</f>
        <v>0.39252761869950004</v>
      </c>
      <c r="L29" s="1"/>
      <c r="M29" s="1"/>
      <c r="N29" s="1"/>
      <c r="O29" s="1"/>
      <c r="P29" s="1"/>
      <c r="Q29" s="1"/>
      <c r="R29" s="1"/>
      <c r="S29" s="1"/>
    </row>
    <row r="30" spans="1:23" s="5" customFormat="1" x14ac:dyDescent="0.25">
      <c r="A30" s="12"/>
      <c r="B30" s="13"/>
      <c r="C30" s="13"/>
      <c r="D30" s="13"/>
      <c r="E30" s="13"/>
      <c r="F30" s="13"/>
      <c r="G30" s="13"/>
      <c r="H30" s="13"/>
      <c r="I30" s="15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3" s="5" customFormat="1" ht="24.95" customHeight="1" x14ac:dyDescent="0.25">
      <c r="A31" s="6" t="s">
        <v>27</v>
      </c>
      <c r="B31" s="7">
        <f>B12-B29</f>
        <v>-19688432.610011578</v>
      </c>
      <c r="C31" s="7">
        <f>C12-C29</f>
        <v>-22802689.530011177</v>
      </c>
      <c r="D31" s="7">
        <f>D12-D29</f>
        <v>-59124734.009999983</v>
      </c>
      <c r="E31" s="7">
        <f>E12-E29</f>
        <v>330969623.13000333</v>
      </c>
      <c r="F31" s="7"/>
      <c r="G31" s="7">
        <f>G12-G29</f>
        <v>288248499.28000331</v>
      </c>
      <c r="H31" s="7"/>
      <c r="I31" s="16"/>
      <c r="K31" s="1"/>
      <c r="L31" s="133"/>
      <c r="M31" s="133"/>
      <c r="N31" s="133"/>
      <c r="O31" s="133"/>
      <c r="P31" s="1"/>
      <c r="Q31" s="1"/>
      <c r="R31" s="1"/>
      <c r="S31" s="1"/>
      <c r="T31" s="1"/>
    </row>
    <row r="32" spans="1:23" s="5" customFormat="1" x14ac:dyDescent="0.25">
      <c r="A32" s="8"/>
      <c r="B32" s="9"/>
      <c r="C32" s="9"/>
      <c r="D32" s="9"/>
      <c r="E32" s="9"/>
      <c r="F32" s="9"/>
      <c r="G32" s="9"/>
      <c r="H32" s="9"/>
      <c r="I32" s="1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s="5" customFormat="1" x14ac:dyDescent="0.25">
      <c r="A33" s="142" t="s">
        <v>67</v>
      </c>
      <c r="B33" s="20"/>
      <c r="C33" s="20"/>
      <c r="D33" s="20"/>
      <c r="E33" s="20">
        <v>412832666</v>
      </c>
      <c r="F33" s="20"/>
      <c r="G33" s="20">
        <f>E33</f>
        <v>412832666</v>
      </c>
      <c r="H33" s="20"/>
      <c r="I33" s="21"/>
      <c r="K33" s="1"/>
      <c r="L33" s="133"/>
      <c r="M33" s="1"/>
      <c r="N33" s="1"/>
      <c r="O33" s="1"/>
      <c r="P33" s="1"/>
      <c r="Q33" s="1"/>
      <c r="R33" s="1"/>
      <c r="S33" s="1"/>
      <c r="T33" s="1"/>
      <c r="U33" s="1"/>
    </row>
    <row r="34" spans="1:21" s="5" customFormat="1" x14ac:dyDescent="0.25">
      <c r="A34" s="142" t="s">
        <v>68</v>
      </c>
      <c r="B34" s="20"/>
      <c r="C34" s="20"/>
      <c r="D34" s="20"/>
      <c r="E34" s="20">
        <v>45000000</v>
      </c>
      <c r="F34" s="20"/>
      <c r="G34" s="20">
        <f>E34</f>
        <v>45000000</v>
      </c>
      <c r="H34" s="20"/>
      <c r="I34" s="21"/>
      <c r="K34" s="1"/>
      <c r="L34" s="133"/>
      <c r="M34" s="1"/>
      <c r="N34" s="1"/>
      <c r="O34" s="1"/>
      <c r="P34" s="1"/>
      <c r="Q34" s="1"/>
      <c r="R34" s="1"/>
      <c r="S34" s="1"/>
      <c r="T34" s="1"/>
      <c r="U34" s="1"/>
    </row>
    <row r="35" spans="1:21" s="5" customFormat="1" ht="24.75" customHeight="1" x14ac:dyDescent="0.25">
      <c r="A35" s="18" t="s">
        <v>69</v>
      </c>
      <c r="B35" s="20"/>
      <c r="C35" s="20"/>
      <c r="D35" s="20"/>
      <c r="E35" s="20">
        <f>E33-E34</f>
        <v>367832666</v>
      </c>
      <c r="F35" s="20"/>
      <c r="G35" s="20">
        <f>E35</f>
        <v>367832666</v>
      </c>
      <c r="H35" s="20"/>
      <c r="I35" s="21"/>
      <c r="K35" s="1"/>
      <c r="L35" s="133"/>
      <c r="M35" s="1"/>
      <c r="N35" s="1"/>
      <c r="O35" s="1"/>
      <c r="P35" s="1"/>
      <c r="Q35" s="1"/>
      <c r="R35" s="1"/>
      <c r="S35" s="1"/>
      <c r="T35" s="1"/>
      <c r="U35" s="1"/>
    </row>
    <row r="36" spans="1:21" s="5" customFormat="1" ht="27.75" customHeight="1" thickBot="1" x14ac:dyDescent="0.3">
      <c r="A36" s="22" t="s">
        <v>28</v>
      </c>
      <c r="B36" s="24"/>
      <c r="C36" s="24"/>
      <c r="D36" s="24"/>
      <c r="E36" s="24">
        <f>+E35+E31</f>
        <v>698802289.13000333</v>
      </c>
      <c r="F36" s="24"/>
      <c r="G36" s="24">
        <f>+G35+G31</f>
        <v>656081165.28000331</v>
      </c>
      <c r="H36" s="24"/>
      <c r="I36" s="25"/>
      <c r="K36" s="1"/>
      <c r="L36" s="133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5"/>
      <c r="B37" s="32"/>
      <c r="C37" s="32"/>
      <c r="D37" s="32"/>
      <c r="E37" s="32"/>
      <c r="F37" s="32"/>
      <c r="G37" s="32"/>
      <c r="H37" s="32"/>
      <c r="I37" s="5"/>
      <c r="J37" s="5"/>
      <c r="L37" s="133"/>
      <c r="M37" s="1"/>
      <c r="N37" s="1"/>
      <c r="O37" s="1"/>
      <c r="P37" s="1"/>
      <c r="Q37" s="1"/>
    </row>
    <row r="38" spans="1:21" x14ac:dyDescent="0.25">
      <c r="B38" s="133"/>
      <c r="C38" s="133"/>
      <c r="D38" s="133"/>
      <c r="E38" s="133"/>
      <c r="F38" s="133"/>
      <c r="G38" s="133"/>
      <c r="H38" s="133"/>
      <c r="M38" s="1"/>
      <c r="N38" s="1"/>
      <c r="O38" s="1"/>
      <c r="P38" s="1"/>
      <c r="Q38" s="1"/>
    </row>
    <row r="39" spans="1:21" x14ac:dyDescent="0.25">
      <c r="B39" s="133"/>
      <c r="C39" s="133"/>
      <c r="D39" s="133"/>
      <c r="E39" s="1"/>
      <c r="F39" s="1"/>
      <c r="G39" s="1"/>
      <c r="H39" s="1"/>
      <c r="M39" s="1"/>
      <c r="N39" s="1"/>
      <c r="O39" s="1"/>
      <c r="P39" s="1"/>
      <c r="Q39" s="1"/>
    </row>
    <row r="40" spans="1:21" x14ac:dyDescent="0.25">
      <c r="B40" s="133"/>
      <c r="C40" s="133"/>
      <c r="D40" s="133"/>
      <c r="E40" s="1"/>
      <c r="F40" s="1"/>
      <c r="G40" s="1"/>
      <c r="H40" s="1"/>
      <c r="I40" s="133"/>
      <c r="M40" s="1"/>
      <c r="N40" s="1"/>
      <c r="O40" s="1"/>
      <c r="P40" s="1"/>
      <c r="Q40" s="1"/>
    </row>
    <row r="41" spans="1:21" x14ac:dyDescent="0.25">
      <c r="B41" s="133"/>
      <c r="C41" s="133"/>
      <c r="D41" s="133"/>
      <c r="E41" s="133"/>
      <c r="F41" s="133"/>
      <c r="G41" s="133"/>
      <c r="H41" s="133"/>
      <c r="M41" s="1"/>
      <c r="N41" s="1"/>
      <c r="O41" s="1"/>
      <c r="P41" s="1"/>
      <c r="Q41" s="1"/>
    </row>
    <row r="42" spans="1:21" x14ac:dyDescent="0.25">
      <c r="B42" s="133"/>
      <c r="C42" s="133"/>
      <c r="D42" s="133"/>
      <c r="E42" s="133"/>
      <c r="F42" s="133"/>
      <c r="G42" s="133"/>
      <c r="H42" s="1"/>
      <c r="J42" s="133"/>
      <c r="M42" s="1"/>
      <c r="N42" s="1"/>
      <c r="O42" s="1"/>
      <c r="P42" s="1"/>
      <c r="Q42" s="1"/>
    </row>
    <row r="43" spans="1:21" x14ac:dyDescent="0.25">
      <c r="B43" s="133"/>
      <c r="C43" s="133"/>
      <c r="D43" s="133"/>
      <c r="E43" s="133"/>
      <c r="F43" s="1"/>
      <c r="G43" s="1"/>
      <c r="H43" s="1"/>
      <c r="M43" s="1"/>
      <c r="N43" s="1"/>
      <c r="O43" s="1"/>
      <c r="P43" s="1"/>
      <c r="Q43" s="1"/>
    </row>
    <row r="44" spans="1:21" x14ac:dyDescent="0.25">
      <c r="B44" s="133"/>
      <c r="C44" s="133"/>
      <c r="D44" s="133"/>
      <c r="E44" s="133"/>
      <c r="F44" s="133"/>
      <c r="G44" s="133"/>
      <c r="H44" s="1"/>
      <c r="M44" s="1"/>
      <c r="N44" s="1"/>
      <c r="O44" s="1"/>
      <c r="P44" s="1"/>
      <c r="Q44" s="1"/>
    </row>
    <row r="45" spans="1:21" x14ac:dyDescent="0.25"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M45" s="1"/>
      <c r="N45" s="1"/>
      <c r="O45" s="1"/>
      <c r="P45" s="1"/>
      <c r="Q45" s="1"/>
    </row>
    <row r="46" spans="1:21" x14ac:dyDescent="0.25"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M46" s="1"/>
      <c r="N46" s="1"/>
      <c r="O46" s="1"/>
      <c r="P46" s="1"/>
      <c r="Q46" s="1"/>
    </row>
    <row r="47" spans="1:21" x14ac:dyDescent="0.25"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M47" s="1"/>
      <c r="N47" s="1"/>
      <c r="O47" s="1"/>
      <c r="P47" s="1"/>
      <c r="Q47" s="1"/>
    </row>
    <row r="48" spans="1:21" x14ac:dyDescent="0.25"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N48" s="1"/>
      <c r="O48" s="1"/>
      <c r="P48" s="1"/>
      <c r="Q48" s="1"/>
    </row>
    <row r="49" spans="2:17" x14ac:dyDescent="0.25"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P49" s="1"/>
      <c r="Q49" s="1"/>
    </row>
    <row r="50" spans="2:17" x14ac:dyDescent="0.25"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P50" s="1"/>
      <c r="Q50" s="1"/>
    </row>
    <row r="51" spans="2:17" x14ac:dyDescent="0.25">
      <c r="B51" s="133"/>
      <c r="C51" s="133"/>
      <c r="D51" s="1"/>
      <c r="E51" s="1"/>
      <c r="F51" s="1"/>
      <c r="G51" s="1"/>
      <c r="H51" s="1"/>
    </row>
    <row r="52" spans="2:17" x14ac:dyDescent="0.25">
      <c r="B52" s="133"/>
      <c r="C52" s="133"/>
      <c r="D52" s="1"/>
      <c r="E52" s="1"/>
      <c r="F52" s="1"/>
      <c r="G52" s="1"/>
      <c r="H52" s="1"/>
    </row>
    <row r="53" spans="2:17" x14ac:dyDescent="0.25">
      <c r="B53" s="133"/>
      <c r="C53" s="133"/>
      <c r="D53" s="1"/>
      <c r="E53" s="1"/>
      <c r="F53" s="1"/>
      <c r="G53" s="1"/>
      <c r="H53" s="1"/>
    </row>
    <row r="54" spans="2:17" x14ac:dyDescent="0.25">
      <c r="B54" s="133"/>
      <c r="C54" s="133"/>
      <c r="D54" s="1"/>
      <c r="E54" s="1"/>
      <c r="F54" s="1"/>
      <c r="G54" s="1"/>
      <c r="H54" s="1"/>
    </row>
    <row r="55" spans="2:17" x14ac:dyDescent="0.25">
      <c r="B55" s="133"/>
      <c r="C55" s="133"/>
      <c r="D55" s="1"/>
      <c r="E55" s="1"/>
      <c r="F55" s="1"/>
      <c r="G55" s="1"/>
      <c r="H55" s="1"/>
    </row>
    <row r="56" spans="2:17" x14ac:dyDescent="0.25">
      <c r="B56" s="133"/>
      <c r="C56" s="133"/>
      <c r="D56" s="1"/>
      <c r="E56" s="1"/>
      <c r="F56" s="1"/>
      <c r="G56" s="1"/>
      <c r="H56" s="1"/>
    </row>
    <row r="57" spans="2:17" x14ac:dyDescent="0.25">
      <c r="B57" s="133"/>
      <c r="C57" s="133"/>
      <c r="D57" s="133"/>
      <c r="E57" s="133"/>
      <c r="F57" s="1"/>
      <c r="G57" s="1"/>
      <c r="H57" s="1"/>
    </row>
    <row r="58" spans="2:17" x14ac:dyDescent="0.25">
      <c r="B58" s="133"/>
      <c r="C58" s="133"/>
      <c r="D58" s="133"/>
      <c r="E58" s="133"/>
      <c r="F58" s="1"/>
      <c r="G58" s="1"/>
      <c r="H58" s="1"/>
    </row>
    <row r="59" spans="2:17" x14ac:dyDescent="0.25">
      <c r="B59" s="133"/>
      <c r="C59" s="133"/>
      <c r="D59" s="133"/>
      <c r="E59" s="133"/>
      <c r="F59" s="1"/>
      <c r="G59" s="1"/>
      <c r="H59" s="1"/>
    </row>
    <row r="60" spans="2:17" x14ac:dyDescent="0.25">
      <c r="B60" s="133"/>
      <c r="C60" s="133"/>
      <c r="D60" s="133"/>
      <c r="E60" s="133"/>
      <c r="F60" s="1"/>
      <c r="G60" s="1"/>
      <c r="H60" s="133"/>
      <c r="I60" s="133"/>
      <c r="J60" s="133"/>
      <c r="K60" s="133"/>
    </row>
    <row r="61" spans="2:17" x14ac:dyDescent="0.25">
      <c r="B61" s="133"/>
      <c r="C61" s="133"/>
      <c r="D61" s="133"/>
      <c r="E61" s="133"/>
      <c r="F61" s="133"/>
      <c r="G61" s="133"/>
      <c r="H61" s="1"/>
      <c r="I61" s="133"/>
      <c r="J61" s="133"/>
      <c r="K61" s="133"/>
    </row>
    <row r="62" spans="2:17" x14ac:dyDescent="0.25">
      <c r="B62" s="133"/>
      <c r="C62" s="133"/>
      <c r="D62" s="133"/>
      <c r="E62" s="133"/>
      <c r="F62" s="133"/>
      <c r="G62" s="133"/>
      <c r="H62" s="1"/>
      <c r="K62" s="133"/>
    </row>
    <row r="63" spans="2:17" x14ac:dyDescent="0.25">
      <c r="B63" s="133"/>
      <c r="C63" s="133"/>
      <c r="D63" s="133"/>
      <c r="E63" s="133"/>
      <c r="F63" s="133"/>
      <c r="G63" s="133"/>
      <c r="H63" s="133"/>
      <c r="I63" s="133"/>
      <c r="J63" s="133"/>
      <c r="K63" s="133"/>
    </row>
    <row r="64" spans="2:17" x14ac:dyDescent="0.25">
      <c r="B64" s="133"/>
      <c r="C64" s="133"/>
      <c r="D64" s="133"/>
      <c r="E64" s="133"/>
      <c r="F64" s="133"/>
      <c r="G64" s="133"/>
      <c r="H64" s="133"/>
      <c r="I64" s="133"/>
      <c r="J64" s="133"/>
    </row>
    <row r="65" spans="2:10" x14ac:dyDescent="0.25">
      <c r="B65" s="133"/>
      <c r="C65" s="133"/>
      <c r="D65" s="133"/>
      <c r="E65" s="133"/>
      <c r="F65" s="133"/>
      <c r="G65" s="133"/>
      <c r="H65" s="133"/>
      <c r="I65" s="133"/>
      <c r="J65" s="133"/>
    </row>
    <row r="66" spans="2:10" x14ac:dyDescent="0.25">
      <c r="B66" s="133"/>
      <c r="C66" s="133"/>
      <c r="D66" s="133"/>
      <c r="E66" s="133"/>
      <c r="F66" s="133"/>
      <c r="G66" s="133"/>
      <c r="H66" s="133"/>
      <c r="I66" s="133"/>
      <c r="J66" s="133"/>
    </row>
    <row r="67" spans="2:10" x14ac:dyDescent="0.25">
      <c r="B67" s="133"/>
      <c r="C67" s="133"/>
      <c r="D67" s="133"/>
      <c r="E67" s="133"/>
      <c r="F67" s="133"/>
      <c r="G67" s="133"/>
      <c r="H67" s="133"/>
      <c r="I67" s="133"/>
      <c r="J67" s="133"/>
    </row>
    <row r="68" spans="2:10" x14ac:dyDescent="0.25">
      <c r="B68" s="133"/>
      <c r="C68" s="133"/>
      <c r="D68" s="133"/>
      <c r="E68" s="133"/>
      <c r="F68" s="133"/>
      <c r="G68" s="133"/>
      <c r="H68" s="133"/>
      <c r="I68" s="133"/>
      <c r="J68" s="133"/>
    </row>
    <row r="69" spans="2:10" x14ac:dyDescent="0.25">
      <c r="B69" s="133"/>
      <c r="C69" s="133"/>
      <c r="D69" s="133"/>
      <c r="E69" s="133"/>
      <c r="F69" s="133"/>
      <c r="G69" s="133"/>
      <c r="H69" s="133"/>
      <c r="I69" s="133"/>
      <c r="J69" s="133"/>
    </row>
    <row r="70" spans="2:10" x14ac:dyDescent="0.25">
      <c r="B70" s="133"/>
      <c r="C70" s="133"/>
      <c r="D70" s="133"/>
      <c r="E70" s="133"/>
      <c r="F70" s="133"/>
      <c r="G70" s="133"/>
      <c r="H70" s="133"/>
      <c r="I70" s="133"/>
      <c r="J70" s="133"/>
    </row>
    <row r="71" spans="2:10" x14ac:dyDescent="0.25">
      <c r="B71" s="133"/>
      <c r="C71" s="133"/>
      <c r="D71" s="133"/>
      <c r="E71" s="133"/>
      <c r="F71" s="133"/>
      <c r="G71" s="133"/>
      <c r="H71" s="133"/>
      <c r="I71" s="133"/>
      <c r="J71" s="133"/>
    </row>
    <row r="72" spans="2:10" x14ac:dyDescent="0.25">
      <c r="B72" s="133"/>
      <c r="C72" s="133"/>
      <c r="D72" s="133"/>
      <c r="E72" s="133"/>
      <c r="F72" s="133"/>
      <c r="G72" s="133"/>
      <c r="H72" s="133"/>
      <c r="I72" s="133"/>
      <c r="J72" s="133"/>
    </row>
    <row r="73" spans="2:10" x14ac:dyDescent="0.25">
      <c r="B73" s="133"/>
      <c r="C73" s="133"/>
      <c r="D73" s="133"/>
      <c r="E73" s="133"/>
      <c r="F73" s="133"/>
      <c r="G73" s="133"/>
      <c r="H73" s="133"/>
      <c r="I73" s="133"/>
      <c r="J73" s="133"/>
    </row>
    <row r="74" spans="2:10" x14ac:dyDescent="0.25">
      <c r="B74" s="133"/>
      <c r="C74" s="133"/>
      <c r="D74" s="133"/>
      <c r="E74" s="133"/>
      <c r="F74" s="133"/>
      <c r="G74" s="133"/>
      <c r="H74" s="133"/>
      <c r="I74" s="133"/>
      <c r="J74" s="133"/>
    </row>
    <row r="75" spans="2:10" x14ac:dyDescent="0.25">
      <c r="B75" s="133"/>
      <c r="C75" s="133"/>
      <c r="D75" s="133"/>
      <c r="E75" s="133"/>
      <c r="F75" s="133"/>
      <c r="G75" s="133"/>
      <c r="H75" s="133"/>
      <c r="I75" s="133"/>
      <c r="J75" s="133"/>
    </row>
    <row r="76" spans="2:10" x14ac:dyDescent="0.25">
      <c r="B76" s="133"/>
      <c r="C76" s="133"/>
      <c r="D76" s="133"/>
      <c r="E76" s="133"/>
      <c r="F76" s="133"/>
      <c r="G76" s="133"/>
      <c r="H76" s="133"/>
      <c r="I76" s="133"/>
      <c r="J76" s="133"/>
    </row>
    <row r="77" spans="2:10" x14ac:dyDescent="0.25">
      <c r="B77" s="133"/>
      <c r="C77" s="133"/>
      <c r="D77" s="133"/>
      <c r="E77" s="133"/>
      <c r="F77" s="133"/>
      <c r="G77" s="133"/>
      <c r="H77" s="133"/>
      <c r="I77" s="133"/>
      <c r="J77" s="133"/>
    </row>
    <row r="78" spans="2:10" x14ac:dyDescent="0.25">
      <c r="B78" s="133"/>
      <c r="C78" s="133"/>
      <c r="D78" s="133"/>
      <c r="E78" s="133"/>
      <c r="F78" s="133"/>
      <c r="G78" s="133"/>
      <c r="H78" s="133"/>
      <c r="I78" s="133"/>
      <c r="J78" s="133"/>
    </row>
    <row r="79" spans="2:10" x14ac:dyDescent="0.25">
      <c r="B79" s="133"/>
      <c r="C79" s="133"/>
      <c r="D79" s="133"/>
      <c r="E79" s="133"/>
      <c r="F79" s="133"/>
      <c r="G79" s="133"/>
      <c r="H79" s="133"/>
      <c r="I79" s="133"/>
      <c r="J79" s="133"/>
    </row>
    <row r="80" spans="2:10" x14ac:dyDescent="0.25">
      <c r="B80" s="133"/>
      <c r="C80" s="133"/>
      <c r="D80" s="133"/>
      <c r="E80" s="133"/>
      <c r="F80" s="133"/>
      <c r="G80" s="133"/>
      <c r="H80" s="133"/>
      <c r="I80" s="133"/>
      <c r="J80" s="133"/>
    </row>
    <row r="81" spans="2:10" x14ac:dyDescent="0.25">
      <c r="B81" s="133"/>
      <c r="C81" s="133"/>
      <c r="D81" s="133"/>
      <c r="E81" s="133"/>
      <c r="F81" s="133"/>
      <c r="G81" s="133"/>
      <c r="H81" s="133"/>
      <c r="I81" s="133"/>
      <c r="J81" s="133"/>
    </row>
    <row r="82" spans="2:10" x14ac:dyDescent="0.25">
      <c r="B82" s="133"/>
      <c r="C82" s="133"/>
      <c r="D82" s="133"/>
      <c r="E82" s="133"/>
      <c r="F82" s="133"/>
      <c r="G82" s="133"/>
      <c r="H82" s="133"/>
      <c r="I82" s="133"/>
      <c r="J82" s="133"/>
    </row>
    <row r="83" spans="2:10" x14ac:dyDescent="0.25">
      <c r="B83" s="133"/>
      <c r="C83" s="133"/>
      <c r="D83" s="133"/>
      <c r="E83" s="133"/>
      <c r="F83" s="133"/>
      <c r="G83" s="133"/>
      <c r="H83" s="133"/>
      <c r="I83" s="133"/>
      <c r="J83" s="133"/>
    </row>
    <row r="84" spans="2:10" x14ac:dyDescent="0.25">
      <c r="B84" s="133"/>
      <c r="C84" s="133"/>
      <c r="D84" s="133"/>
      <c r="E84" s="133"/>
      <c r="F84" s="133"/>
      <c r="G84" s="133"/>
      <c r="H84" s="133"/>
      <c r="I84" s="133"/>
      <c r="J84" s="133"/>
    </row>
    <row r="85" spans="2:10" x14ac:dyDescent="0.25">
      <c r="B85" s="133"/>
    </row>
    <row r="86" spans="2:10" x14ac:dyDescent="0.25">
      <c r="B86" s="133"/>
    </row>
    <row r="87" spans="2:10" x14ac:dyDescent="0.25">
      <c r="B87" s="133"/>
    </row>
    <row r="88" spans="2:10" x14ac:dyDescent="0.25">
      <c r="B88" s="133"/>
    </row>
    <row r="89" spans="2:10" x14ac:dyDescent="0.25">
      <c r="B89" s="133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96"/>
  <sheetViews>
    <sheetView topLeftCell="H37" workbookViewId="0">
      <selection activeCell="R55" sqref="R55"/>
    </sheetView>
  </sheetViews>
  <sheetFormatPr defaultRowHeight="12.75" x14ac:dyDescent="0.2"/>
  <cols>
    <col min="1" max="1" width="32.42578125" style="50" bestFit="1" customWidth="1"/>
    <col min="2" max="2" width="15.7109375" style="50" customWidth="1"/>
    <col min="3" max="3" width="18.7109375" style="50" customWidth="1"/>
    <col min="4" max="4" width="45.5703125" style="50" bestFit="1" customWidth="1"/>
    <col min="5" max="5" width="16.140625" style="50" customWidth="1"/>
    <col min="6" max="6" width="12.5703125" style="49" customWidth="1"/>
    <col min="7" max="7" width="13.42578125" style="49" bestFit="1" customWidth="1"/>
    <col min="8" max="8" width="14.42578125" style="49" bestFit="1" customWidth="1"/>
    <col min="9" max="9" width="16" style="49" bestFit="1" customWidth="1"/>
    <col min="10" max="17" width="13.42578125" style="49" bestFit="1" customWidth="1"/>
    <col min="18" max="18" width="69.140625" style="50" customWidth="1"/>
    <col min="19" max="20" width="17" style="95" customWidth="1"/>
    <col min="21" max="21" width="17" style="95" bestFit="1" customWidth="1"/>
    <col min="22" max="16384" width="9.140625" style="50"/>
  </cols>
  <sheetData>
    <row r="1" spans="1:21" ht="21" thickBot="1" x14ac:dyDescent="0.25">
      <c r="A1" s="160" t="s">
        <v>80</v>
      </c>
      <c r="B1" s="161"/>
      <c r="C1" s="161"/>
      <c r="D1" s="161"/>
      <c r="E1" s="161"/>
      <c r="F1" s="161"/>
      <c r="G1" s="162"/>
      <c r="H1" s="48"/>
    </row>
    <row r="2" spans="1:21" x14ac:dyDescent="0.2">
      <c r="A2" s="51"/>
      <c r="B2" s="48"/>
      <c r="C2" s="51"/>
      <c r="D2" s="51"/>
      <c r="E2" s="51"/>
      <c r="F2" s="48"/>
      <c r="G2" s="48"/>
    </row>
    <row r="3" spans="1:21" x14ac:dyDescent="0.2">
      <c r="A3" s="163" t="s">
        <v>35</v>
      </c>
      <c r="B3" s="164"/>
      <c r="C3" s="164"/>
      <c r="D3" s="164"/>
      <c r="E3" s="164"/>
      <c r="F3" s="164"/>
      <c r="G3" s="164"/>
    </row>
    <row r="4" spans="1:21" ht="13.5" thickBot="1" x14ac:dyDescent="0.25">
      <c r="A4" s="51"/>
      <c r="B4" s="48"/>
      <c r="C4" s="51"/>
      <c r="D4" s="51"/>
      <c r="E4" s="51"/>
      <c r="F4" s="48"/>
      <c r="G4" s="48"/>
    </row>
    <row r="5" spans="1:21" ht="26.25" thickBot="1" x14ac:dyDescent="0.25">
      <c r="B5" s="52" t="s">
        <v>36</v>
      </c>
      <c r="C5" s="53" t="s">
        <v>37</v>
      </c>
      <c r="D5" s="51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21" ht="13.5" thickBot="1" x14ac:dyDescent="0.25">
      <c r="A6" s="54" t="s">
        <v>38</v>
      </c>
      <c r="B6" s="55">
        <v>1478089191.3600099</v>
      </c>
      <c r="C6" s="56">
        <f>SUM(F25:Q25)</f>
        <v>855177236.99999666</v>
      </c>
      <c r="D6" s="51"/>
      <c r="E6" s="51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1:21" ht="26.25" thickBot="1" x14ac:dyDescent="0.25">
      <c r="B7" s="48"/>
      <c r="C7" s="57"/>
      <c r="D7" s="58"/>
      <c r="E7" s="59" t="s">
        <v>39</v>
      </c>
      <c r="F7" s="60" t="s">
        <v>40</v>
      </c>
      <c r="G7" s="61" t="s">
        <v>41</v>
      </c>
      <c r="H7" s="61" t="s">
        <v>42</v>
      </c>
      <c r="I7" s="61" t="s">
        <v>43</v>
      </c>
      <c r="J7" s="61" t="s">
        <v>44</v>
      </c>
      <c r="K7" s="61" t="s">
        <v>45</v>
      </c>
      <c r="L7" s="61" t="s">
        <v>46</v>
      </c>
      <c r="M7" s="61" t="s">
        <v>47</v>
      </c>
      <c r="N7" s="61" t="s">
        <v>48</v>
      </c>
      <c r="O7" s="61" t="s">
        <v>49</v>
      </c>
      <c r="P7" s="61" t="s">
        <v>50</v>
      </c>
      <c r="Q7" s="62" t="s">
        <v>51</v>
      </c>
    </row>
    <row r="8" spans="1:21" x14ac:dyDescent="0.2">
      <c r="B8" s="49"/>
      <c r="D8" s="51"/>
      <c r="E8" s="63"/>
      <c r="P8" s="50"/>
      <c r="Q8" s="50"/>
    </row>
    <row r="9" spans="1:21" x14ac:dyDescent="0.2">
      <c r="B9" s="49"/>
      <c r="D9" s="51" t="s">
        <v>13</v>
      </c>
      <c r="E9" s="64">
        <f>SUM(F9:Q9)</f>
        <v>507793258.87999654</v>
      </c>
      <c r="F9" s="49">
        <f>12213444.82+3580.9499999471</f>
        <v>12217025.769999947</v>
      </c>
      <c r="G9" s="49">
        <f>13942179.5599998+15081.1700010001</f>
        <v>13957260.7300008</v>
      </c>
      <c r="H9" s="49">
        <f>78000020.8899999+55524.2399992644+2200.76000028848</f>
        <v>78057745.889999449</v>
      </c>
      <c r="I9" s="49">
        <f>80943118.9000002+6502063.00999996+44552.2499997615</f>
        <v>87489734.159999922</v>
      </c>
      <c r="J9" s="49">
        <f>75266531.2699996+5435951.549999</f>
        <v>80702482.819998592</v>
      </c>
      <c r="K9" s="49">
        <f>80093282.9099997+540227.230000079</f>
        <v>80633510.139999777</v>
      </c>
      <c r="L9" s="49">
        <f>85962205.9600001+1027798.719998</f>
        <v>86990004.6799981</v>
      </c>
      <c r="M9" s="49">
        <v>67745494.689999998</v>
      </c>
      <c r="P9" s="50"/>
      <c r="Q9" s="95"/>
      <c r="R9" s="50" t="s">
        <v>13</v>
      </c>
      <c r="S9" s="95">
        <v>507793258.87999648</v>
      </c>
      <c r="T9" s="95">
        <f t="shared" ref="T9:T24" si="0">S9-E9</f>
        <v>0</v>
      </c>
      <c r="U9" s="95">
        <v>1027798.7199980021</v>
      </c>
    </row>
    <row r="10" spans="1:21" x14ac:dyDescent="0.2">
      <c r="B10" s="49"/>
      <c r="D10" s="51" t="s">
        <v>14</v>
      </c>
      <c r="E10" s="64">
        <f t="shared" ref="E10:E24" si="1">SUM(F10:Q10)</f>
        <v>49244185.510000005</v>
      </c>
      <c r="F10" s="49">
        <f>924891.19+1130.54999999981</f>
        <v>926021.73999999976</v>
      </c>
      <c r="G10" s="49">
        <f>2100394.27+11528.7300000078</f>
        <v>2111923.0000000079</v>
      </c>
      <c r="H10" s="49">
        <f>7273282.58+4443.59999998658+1325.00000000745</f>
        <v>7279051.1799999941</v>
      </c>
      <c r="I10" s="49">
        <v>7506779.2599999988</v>
      </c>
      <c r="J10" s="49">
        <f>7964440.74999999+935.690000019967</f>
        <v>7965376.4400000097</v>
      </c>
      <c r="K10" s="49">
        <f>7813872.24999999+499688.799999997</f>
        <v>8313561.0499999868</v>
      </c>
      <c r="L10" s="49">
        <f>8481149.73999999-171909.629999965</f>
        <v>8309240.1100000255</v>
      </c>
      <c r="M10" s="49">
        <v>6832232.7299999874</v>
      </c>
      <c r="P10" s="50"/>
      <c r="Q10" s="95"/>
      <c r="R10" s="50" t="s">
        <v>14</v>
      </c>
      <c r="S10" s="95">
        <v>49244185.510000005</v>
      </c>
      <c r="T10" s="95">
        <f t="shared" si="0"/>
        <v>0</v>
      </c>
      <c r="U10" s="95">
        <v>-171909.62999996543</v>
      </c>
    </row>
    <row r="11" spans="1:21" x14ac:dyDescent="0.2">
      <c r="B11" s="49"/>
      <c r="D11" s="51" t="s">
        <v>15</v>
      </c>
      <c r="E11" s="64">
        <f t="shared" si="1"/>
        <v>10732099.059999991</v>
      </c>
      <c r="F11" s="49">
        <f>846901.83+38204.7099999999</f>
        <v>885106.5399999998</v>
      </c>
      <c r="G11" s="49">
        <f>1988564.9-9578.92999999644</f>
        <v>1978985.9700000035</v>
      </c>
      <c r="H11" s="49">
        <f>1078797.48+307.200000001117+1051.5399999991</f>
        <v>1080156.2200000002</v>
      </c>
      <c r="I11" s="49">
        <f>1437144.85+6928.13000000175+701.389999998733</f>
        <v>1444774.3700000006</v>
      </c>
      <c r="J11" s="49">
        <f>1314636.6+2993.29999999795</f>
        <v>1317629.899999998</v>
      </c>
      <c r="K11" s="49">
        <f>1289602.63-5895.21000000461</f>
        <v>1283707.4199999953</v>
      </c>
      <c r="L11" s="49">
        <f>1660787.65-409.230000006034</f>
        <v>1660378.4199999939</v>
      </c>
      <c r="M11" s="49">
        <v>1081360.22</v>
      </c>
      <c r="P11" s="50"/>
      <c r="Q11" s="95"/>
      <c r="R11" s="50" t="s">
        <v>15</v>
      </c>
      <c r="S11" s="95">
        <v>10732099.059999993</v>
      </c>
      <c r="T11" s="95">
        <f t="shared" si="0"/>
        <v>0</v>
      </c>
      <c r="U11" s="95">
        <v>-409.230000006034</v>
      </c>
    </row>
    <row r="12" spans="1:21" x14ac:dyDescent="0.2">
      <c r="B12" s="49"/>
      <c r="D12" s="51" t="s">
        <v>16</v>
      </c>
      <c r="E12" s="64">
        <f t="shared" si="1"/>
        <v>20320.62</v>
      </c>
      <c r="F12" s="49">
        <v>0</v>
      </c>
      <c r="G12" s="49">
        <v>0</v>
      </c>
      <c r="H12" s="49">
        <v>615.90000000000009</v>
      </c>
      <c r="I12" s="49">
        <v>2925.6</v>
      </c>
      <c r="J12" s="49">
        <v>12716.72</v>
      </c>
      <c r="K12" s="49">
        <v>1107.4000000000001</v>
      </c>
      <c r="L12" s="49">
        <v>0</v>
      </c>
      <c r="M12" s="49">
        <v>2955</v>
      </c>
      <c r="P12" s="50"/>
      <c r="Q12" s="95"/>
      <c r="R12" s="50" t="s">
        <v>16</v>
      </c>
      <c r="S12" s="95">
        <v>20320.62</v>
      </c>
      <c r="T12" s="95">
        <f t="shared" si="0"/>
        <v>0</v>
      </c>
      <c r="U12" s="95">
        <v>0</v>
      </c>
    </row>
    <row r="13" spans="1:21" x14ac:dyDescent="0.2">
      <c r="B13" s="49"/>
      <c r="D13" s="51" t="s">
        <v>17</v>
      </c>
      <c r="E13" s="64">
        <f t="shared" si="1"/>
        <v>8860881.0500000007</v>
      </c>
      <c r="F13" s="49">
        <v>98846.819999999963</v>
      </c>
      <c r="G13" s="49">
        <f>121124.5+296.990000000922</f>
        <v>121421.49000000092</v>
      </c>
      <c r="H13" s="49">
        <f>1471291.58+15673.8000000002</f>
        <v>1486965.3800000004</v>
      </c>
      <c r="I13" s="49">
        <f>1363350+11664.5400000018+56607.5399999907</f>
        <v>1431622.0799999926</v>
      </c>
      <c r="J13" s="49">
        <f>1335731.58+38315.4000000022</f>
        <v>1374046.9800000023</v>
      </c>
      <c r="K13" s="49">
        <f>1326952.38+109561.360000004</f>
        <v>1436513.7400000039</v>
      </c>
      <c r="L13" s="49">
        <v>1515408.71</v>
      </c>
      <c r="M13" s="49">
        <v>1396055.85</v>
      </c>
      <c r="P13" s="50"/>
      <c r="Q13" s="95"/>
      <c r="R13" s="50" t="s">
        <v>17</v>
      </c>
      <c r="S13" s="95">
        <v>8860881.0499999952</v>
      </c>
      <c r="T13" s="95">
        <f t="shared" si="0"/>
        <v>0</v>
      </c>
      <c r="U13" s="95">
        <v>0</v>
      </c>
    </row>
    <row r="14" spans="1:21" x14ac:dyDescent="0.2">
      <c r="B14" s="49"/>
      <c r="D14" s="51" t="s">
        <v>18</v>
      </c>
      <c r="E14" s="64">
        <f t="shared" si="1"/>
        <v>38746501.549999997</v>
      </c>
      <c r="F14" s="49">
        <f>1033434.45+9553.50999999977</f>
        <v>1042987.9599999997</v>
      </c>
      <c r="G14" s="49">
        <f>1770620.04+3537.89999999944</f>
        <v>1774157.9399999995</v>
      </c>
      <c r="H14" s="49">
        <f>2010309.8+225.460000000894+2357.6799999997</f>
        <v>2012892.9400000006</v>
      </c>
      <c r="I14" s="49">
        <f>24481131.34+1590.55999999493+1826.17000000178</f>
        <v>24484548.069999997</v>
      </c>
      <c r="J14" s="49">
        <f>2252785.18+6479.38999999314</f>
        <v>2259264.5699999933</v>
      </c>
      <c r="K14" s="49">
        <f>2022450.86+5070.82000000774</f>
        <v>2027521.6800000079</v>
      </c>
      <c r="L14" s="49">
        <v>2723822.3200000012</v>
      </c>
      <c r="M14" s="49">
        <v>2421306.0699999989</v>
      </c>
      <c r="P14" s="50"/>
      <c r="Q14" s="95"/>
      <c r="R14" s="50" t="s">
        <v>18</v>
      </c>
      <c r="S14" s="95">
        <v>38746501.550000004</v>
      </c>
      <c r="T14" s="95">
        <f t="shared" si="0"/>
        <v>0</v>
      </c>
      <c r="U14" s="95">
        <v>0</v>
      </c>
    </row>
    <row r="15" spans="1:21" x14ac:dyDescent="0.2">
      <c r="A15" s="65" t="s">
        <v>52</v>
      </c>
      <c r="B15" s="126">
        <f>B6-C6</f>
        <v>622911954.36001325</v>
      </c>
      <c r="C15" s="66">
        <f>B15/$B$6</f>
        <v>0.4214305591307812</v>
      </c>
      <c r="D15" s="51" t="s">
        <v>19</v>
      </c>
      <c r="E15" s="64">
        <f t="shared" si="1"/>
        <v>54290034.609999917</v>
      </c>
      <c r="F15" s="49">
        <v>2728240.7999999961</v>
      </c>
      <c r="G15" s="49">
        <v>6738063.0299998978</v>
      </c>
      <c r="H15" s="49">
        <v>7179415.1900000004</v>
      </c>
      <c r="I15" s="49">
        <v>7185895.7900000056</v>
      </c>
      <c r="J15" s="49">
        <v>7028313.1000000136</v>
      </c>
      <c r="K15" s="49">
        <v>7361592.4500000048</v>
      </c>
      <c r="L15" s="49">
        <v>9253961.0799999963</v>
      </c>
      <c r="M15" s="49">
        <v>6814553.1700000009</v>
      </c>
      <c r="P15" s="50"/>
      <c r="Q15" s="95"/>
      <c r="R15" s="50" t="s">
        <v>19</v>
      </c>
      <c r="S15" s="95">
        <v>54290034.609999999</v>
      </c>
      <c r="T15" s="95">
        <f t="shared" si="0"/>
        <v>8.1956386566162109E-8</v>
      </c>
      <c r="U15" s="95">
        <v>8.1956386566162109E-8</v>
      </c>
    </row>
    <row r="16" spans="1:21" x14ac:dyDescent="0.2">
      <c r="A16" s="65" t="s">
        <v>53</v>
      </c>
      <c r="B16" s="126">
        <f>C6</f>
        <v>855177236.99999666</v>
      </c>
      <c r="C16" s="66">
        <f>B16/$B$6</f>
        <v>0.5785694408692188</v>
      </c>
      <c r="D16" s="51" t="s">
        <v>20</v>
      </c>
      <c r="E16" s="64">
        <f t="shared" si="1"/>
        <v>10863560.980000002</v>
      </c>
      <c r="F16" s="49">
        <f>853765.21+939.729999999515</f>
        <v>854704.93999999948</v>
      </c>
      <c r="G16" s="49">
        <f>1525647.01+2768.17000000318</f>
        <v>1528415.1800000032</v>
      </c>
      <c r="H16" s="49">
        <f>1130009.31+302.139999999664</f>
        <v>1130311.4499999997</v>
      </c>
      <c r="I16" s="49">
        <f>910915.88+69144.0599999949+1346.62000000197</f>
        <v>981406.55999999691</v>
      </c>
      <c r="J16" s="49">
        <f>872032.7+136584.229999999</f>
        <v>1008616.929999999</v>
      </c>
      <c r="K16" s="49">
        <f>1032844.14+185763.550000003</f>
        <v>1218607.690000003</v>
      </c>
      <c r="L16" s="49">
        <f>2648906.76+216592.560000001</f>
        <v>2865499.3200000008</v>
      </c>
      <c r="M16" s="49">
        <v>1275998.9099999999</v>
      </c>
      <c r="P16" s="50"/>
      <c r="Q16" s="95"/>
      <c r="R16" s="50" t="s">
        <v>20</v>
      </c>
      <c r="S16" s="95">
        <v>10863560.980000002</v>
      </c>
      <c r="T16" s="95">
        <f t="shared" si="0"/>
        <v>0</v>
      </c>
      <c r="U16" s="95">
        <v>216592.56000000099</v>
      </c>
    </row>
    <row r="17" spans="1:21" x14ac:dyDescent="0.2">
      <c r="A17" s="51"/>
      <c r="B17" s="48"/>
      <c r="C17" s="51"/>
      <c r="D17" s="67" t="s">
        <v>54</v>
      </c>
      <c r="E17" s="64">
        <f t="shared" si="1"/>
        <v>104670966.78000012</v>
      </c>
      <c r="F17" s="49">
        <f>7984064.69+7975.93999999389</f>
        <v>7992040.6299999943</v>
      </c>
      <c r="G17" s="49">
        <f>16073176.09+291.480000004172</f>
        <v>16073467.570000004</v>
      </c>
      <c r="H17" s="49">
        <f>16514002.63+14678.1899999678+825.219999998807</f>
        <v>16529506.039999967</v>
      </c>
      <c r="I17" s="49">
        <f>9344994.87-637009.29999999+61072.6500000208</f>
        <v>8769058.2200000305</v>
      </c>
      <c r="J17" s="49">
        <f>14843475.62+37570.399999991</f>
        <v>14881046.01999999</v>
      </c>
      <c r="K17" s="49">
        <f>12017707.84+124553.900000125</f>
        <v>12142261.740000125</v>
      </c>
      <c r="L17" s="49">
        <v>15346099.940000005</v>
      </c>
      <c r="M17" s="49">
        <v>12937486.620000008</v>
      </c>
      <c r="P17" s="50"/>
      <c r="Q17" s="95"/>
      <c r="R17" s="50" t="s">
        <v>54</v>
      </c>
      <c r="S17" s="95">
        <v>104670966.78000006</v>
      </c>
      <c r="T17" s="95">
        <f t="shared" si="0"/>
        <v>0</v>
      </c>
      <c r="U17" s="95">
        <v>0</v>
      </c>
    </row>
    <row r="18" spans="1:21" x14ac:dyDescent="0.2">
      <c r="B18" s="68"/>
      <c r="C18" s="51"/>
      <c r="D18" s="51" t="s">
        <v>21</v>
      </c>
      <c r="E18" s="64">
        <f t="shared" si="1"/>
        <v>45134101.430000007</v>
      </c>
      <c r="F18" s="49">
        <v>2493217.9699999997</v>
      </c>
      <c r="G18" s="49">
        <f>3060293.28+411.899999998509</f>
        <v>3060705.1799999983</v>
      </c>
      <c r="H18" s="49">
        <f>5651796.73-14082.3099999912</f>
        <v>5637714.4200000092</v>
      </c>
      <c r="I18" s="49">
        <f>6615062.61-7350.78000000491+1698.44999999552</f>
        <v>6609410.2799999909</v>
      </c>
      <c r="J18" s="49">
        <f>6312539.29+1770.16000001505</f>
        <v>6314309.4500000151</v>
      </c>
      <c r="K18" s="49">
        <f>6183423.02-1104.25</f>
        <v>6182318.7699999996</v>
      </c>
      <c r="L18" s="49">
        <v>7795964.9899999993</v>
      </c>
      <c r="M18" s="49">
        <v>7040460.370000001</v>
      </c>
      <c r="P18" s="50"/>
      <c r="Q18" s="95"/>
      <c r="R18" s="50" t="s">
        <v>21</v>
      </c>
      <c r="S18" s="95">
        <v>45134101.429999985</v>
      </c>
      <c r="T18" s="95">
        <f t="shared" si="0"/>
        <v>0</v>
      </c>
      <c r="U18" s="95">
        <v>0</v>
      </c>
    </row>
    <row r="19" spans="1:21" x14ac:dyDescent="0.2">
      <c r="A19" s="51"/>
      <c r="B19" s="48"/>
      <c r="C19" s="51"/>
      <c r="D19" s="51" t="s">
        <v>22</v>
      </c>
      <c r="E19" s="64">
        <f t="shared" si="1"/>
        <v>22485220.449999999</v>
      </c>
      <c r="F19" s="49">
        <f>1964459.35-5472.81999999936</f>
        <v>1958986.5300000007</v>
      </c>
      <c r="G19" s="49">
        <f>2685579.75-17602.1600000029</f>
        <v>2667977.5899999971</v>
      </c>
      <c r="H19" s="49">
        <f>3093989.68-7942.72999999485+1216.96000000089</f>
        <v>3087263.9100000062</v>
      </c>
      <c r="I19" s="49">
        <f>3477469.97+2136.98999999277+1944.40000000968</f>
        <v>3481551.3600000027</v>
      </c>
      <c r="J19" s="49">
        <f>2582019.03-18820.4800000041</f>
        <v>2563198.5499999956</v>
      </c>
      <c r="K19" s="49">
        <f>2570635.33+4648.57999999448</f>
        <v>2575283.9099999946</v>
      </c>
      <c r="L19" s="49">
        <v>3479854.2900000024</v>
      </c>
      <c r="M19" s="49">
        <v>2671104.310000001</v>
      </c>
      <c r="P19" s="50"/>
      <c r="Q19" s="95"/>
      <c r="R19" s="50" t="s">
        <v>22</v>
      </c>
      <c r="S19" s="95">
        <v>22485220.450000007</v>
      </c>
      <c r="T19" s="95">
        <f t="shared" si="0"/>
        <v>0</v>
      </c>
      <c r="U19" s="95">
        <v>0</v>
      </c>
    </row>
    <row r="20" spans="1:21" x14ac:dyDescent="0.2">
      <c r="A20" s="51"/>
      <c r="B20" s="48"/>
      <c r="C20" s="51"/>
      <c r="D20" s="51" t="s">
        <v>23</v>
      </c>
      <c r="E20" s="64">
        <f t="shared" si="1"/>
        <v>877718.11999999988</v>
      </c>
      <c r="F20" s="49">
        <v>13353.82</v>
      </c>
      <c r="G20" s="49">
        <v>48397.18</v>
      </c>
      <c r="H20" s="49">
        <v>125035.29000000001</v>
      </c>
      <c r="I20" s="49">
        <v>124228.82</v>
      </c>
      <c r="J20" s="49">
        <v>150383.50999999998</v>
      </c>
      <c r="K20" s="49">
        <v>125133.81999999999</v>
      </c>
      <c r="L20" s="49">
        <v>145099.01</v>
      </c>
      <c r="M20" s="49">
        <v>146086.66999999998</v>
      </c>
      <c r="P20" s="50"/>
      <c r="Q20" s="95"/>
      <c r="R20" s="50" t="s">
        <v>23</v>
      </c>
      <c r="S20" s="95">
        <v>877718.11999999988</v>
      </c>
      <c r="T20" s="95">
        <f t="shared" si="0"/>
        <v>0</v>
      </c>
      <c r="U20" s="95">
        <v>0</v>
      </c>
    </row>
    <row r="21" spans="1:21" x14ac:dyDescent="0.2">
      <c r="A21" s="51"/>
      <c r="B21" s="48"/>
      <c r="C21" s="51"/>
      <c r="D21" s="51" t="s">
        <v>29</v>
      </c>
      <c r="E21" s="64">
        <f t="shared" si="1"/>
        <v>4799.2499999999973</v>
      </c>
      <c r="F21" s="49">
        <v>0</v>
      </c>
      <c r="G21" s="49">
        <v>0</v>
      </c>
      <c r="H21" s="49">
        <v>4799.2499999999973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P21" s="50"/>
      <c r="Q21" s="95"/>
      <c r="R21" s="50" t="s">
        <v>29</v>
      </c>
      <c r="S21" s="95">
        <v>4799.2499999999973</v>
      </c>
      <c r="T21" s="95">
        <f t="shared" si="0"/>
        <v>0</v>
      </c>
      <c r="U21" s="95">
        <v>0</v>
      </c>
    </row>
    <row r="22" spans="1:21" x14ac:dyDescent="0.2">
      <c r="A22" s="51"/>
      <c r="B22" s="48"/>
      <c r="C22" s="51"/>
      <c r="D22" s="51" t="s">
        <v>30</v>
      </c>
      <c r="E22" s="64">
        <f t="shared" si="1"/>
        <v>453588.70999999996</v>
      </c>
      <c r="F22" s="49">
        <v>0</v>
      </c>
      <c r="G22" s="49">
        <v>0</v>
      </c>
      <c r="H22" s="49">
        <v>0</v>
      </c>
      <c r="I22" s="49">
        <v>0</v>
      </c>
      <c r="J22" s="49">
        <f>87102.3+42155.84</f>
        <v>129258.14</v>
      </c>
      <c r="K22" s="49">
        <v>80494.52</v>
      </c>
      <c r="L22" s="49">
        <f>165444.9+3251.72999999998</f>
        <v>168696.62999999998</v>
      </c>
      <c r="M22" s="49">
        <v>75139.42</v>
      </c>
      <c r="P22" s="50"/>
      <c r="Q22" s="95"/>
      <c r="R22" s="50" t="s">
        <v>30</v>
      </c>
      <c r="S22" s="95">
        <v>453588.70999999996</v>
      </c>
      <c r="T22" s="95">
        <f t="shared" si="0"/>
        <v>0</v>
      </c>
      <c r="U22" s="95">
        <v>3251.72999999998</v>
      </c>
    </row>
    <row r="23" spans="1:21" x14ac:dyDescent="0.2">
      <c r="A23" s="51"/>
      <c r="B23" s="48"/>
      <c r="C23" s="51"/>
      <c r="D23" s="51" t="s">
        <v>25</v>
      </c>
      <c r="E23" s="64">
        <f t="shared" si="1"/>
        <v>1000000</v>
      </c>
      <c r="F23" s="49">
        <v>-431234.22</v>
      </c>
      <c r="G23" s="49">
        <v>950000</v>
      </c>
      <c r="H23" s="49">
        <v>0</v>
      </c>
      <c r="I23" s="49">
        <v>100000</v>
      </c>
      <c r="J23" s="49">
        <v>381234.22</v>
      </c>
      <c r="K23" s="49">
        <v>0</v>
      </c>
      <c r="L23" s="49">
        <v>0</v>
      </c>
      <c r="M23" s="49">
        <v>0</v>
      </c>
      <c r="P23" s="50"/>
      <c r="Q23" s="95"/>
      <c r="R23" s="50" t="s">
        <v>25</v>
      </c>
      <c r="S23" s="95">
        <v>1000000</v>
      </c>
      <c r="T23" s="95">
        <f t="shared" si="0"/>
        <v>0</v>
      </c>
      <c r="U23" s="95">
        <v>0</v>
      </c>
    </row>
    <row r="24" spans="1:21" ht="13.5" thickBot="1" x14ac:dyDescent="0.25">
      <c r="A24" s="51"/>
      <c r="B24" s="48"/>
      <c r="C24" s="51"/>
      <c r="D24" s="51" t="s">
        <v>24</v>
      </c>
      <c r="E24" s="64">
        <f t="shared" si="1"/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P24" s="50"/>
      <c r="Q24" s="95"/>
      <c r="R24" s="50" t="s">
        <v>24</v>
      </c>
      <c r="S24" s="95">
        <v>0</v>
      </c>
      <c r="T24" s="95">
        <f t="shared" si="0"/>
        <v>0</v>
      </c>
      <c r="U24" s="95">
        <v>0</v>
      </c>
    </row>
    <row r="25" spans="1:21" ht="13.5" thickBot="1" x14ac:dyDescent="0.25">
      <c r="A25" s="51"/>
      <c r="B25" s="48"/>
      <c r="C25" s="51"/>
      <c r="D25" s="69" t="s">
        <v>55</v>
      </c>
      <c r="E25" s="70">
        <f>SUM(E9:E24)</f>
        <v>855177236.99999654</v>
      </c>
      <c r="F25" s="71">
        <f t="shared" ref="F25:Q25" si="2">SUM(F9:F24)</f>
        <v>30779299.299999937</v>
      </c>
      <c r="G25" s="71">
        <f t="shared" si="2"/>
        <v>51010774.860000715</v>
      </c>
      <c r="H25" s="71">
        <f t="shared" si="2"/>
        <v>123611473.05999944</v>
      </c>
      <c r="I25" s="71">
        <f t="shared" si="2"/>
        <v>149611934.56999996</v>
      </c>
      <c r="J25" s="71">
        <f t="shared" si="2"/>
        <v>126087877.34999861</v>
      </c>
      <c r="K25" s="71">
        <f t="shared" si="2"/>
        <v>123381614.32999989</v>
      </c>
      <c r="L25" s="71">
        <f t="shared" si="2"/>
        <v>140254029.49999812</v>
      </c>
      <c r="M25" s="71">
        <f t="shared" si="2"/>
        <v>110440234.02999999</v>
      </c>
      <c r="N25" s="71">
        <f t="shared" si="2"/>
        <v>0</v>
      </c>
      <c r="O25" s="71">
        <f t="shared" si="2"/>
        <v>0</v>
      </c>
      <c r="P25" s="71">
        <f t="shared" si="2"/>
        <v>0</v>
      </c>
      <c r="Q25" s="71">
        <f t="shared" si="2"/>
        <v>0</v>
      </c>
      <c r="S25" s="123">
        <v>0</v>
      </c>
      <c r="T25" s="123">
        <f t="shared" ref="T25:U25" si="3">SUM(T9:T24)</f>
        <v>8.1956386566162109E-8</v>
      </c>
      <c r="U25" s="123">
        <f t="shared" si="3"/>
        <v>1075324.1499981135</v>
      </c>
    </row>
    <row r="26" spans="1:21" x14ac:dyDescent="0.2">
      <c r="A26" s="51"/>
      <c r="B26" s="48"/>
      <c r="C26" s="51"/>
      <c r="D26" s="51"/>
      <c r="E26" s="51"/>
      <c r="F26" s="48"/>
      <c r="G26" s="48"/>
    </row>
    <row r="27" spans="1:21" ht="29.25" customHeight="1" x14ac:dyDescent="0.2">
      <c r="A27" s="11"/>
      <c r="B27" s="165" t="s">
        <v>81</v>
      </c>
      <c r="C27" s="165"/>
      <c r="D27" s="165"/>
      <c r="E27" s="165"/>
      <c r="F27" s="165"/>
      <c r="G27" s="72"/>
    </row>
    <row r="28" spans="1:21" x14ac:dyDescent="0.2">
      <c r="A28" s="51"/>
      <c r="B28" s="48"/>
      <c r="C28" s="51"/>
      <c r="D28" s="51"/>
      <c r="E28" s="128"/>
      <c r="F28" s="48"/>
      <c r="G28" s="48"/>
    </row>
    <row r="29" spans="1:21" ht="29.25" customHeight="1" x14ac:dyDescent="0.2">
      <c r="B29" s="165" t="str">
        <f>"GENERAL OPERATIONS" &amp; " YTD EXPENSES"&amp;CHAR(10)&amp;TEXT(C6,"$#,##0")</f>
        <v>GENERAL OPERATIONS YTD EXPENSES
$855,177,237</v>
      </c>
      <c r="C29" s="165"/>
      <c r="D29" s="165"/>
      <c r="E29" s="165"/>
      <c r="F29" s="165"/>
      <c r="G29" s="72"/>
      <c r="H29" s="127" t="s">
        <v>82</v>
      </c>
    </row>
    <row r="30" spans="1:21" x14ac:dyDescent="0.2">
      <c r="A30" s="51"/>
      <c r="B30" s="48"/>
      <c r="C30" s="51"/>
      <c r="D30" s="51"/>
      <c r="E30" s="51"/>
      <c r="F30" s="48"/>
      <c r="G30" s="48"/>
    </row>
    <row r="31" spans="1:21" x14ac:dyDescent="0.2">
      <c r="A31" s="51"/>
      <c r="B31" s="48"/>
      <c r="C31" s="51"/>
      <c r="D31" s="51"/>
      <c r="E31" s="51"/>
      <c r="F31" s="48"/>
      <c r="G31" s="48"/>
    </row>
    <row r="32" spans="1:21" x14ac:dyDescent="0.2">
      <c r="A32" s="51"/>
      <c r="B32" s="48"/>
      <c r="C32" s="51"/>
      <c r="D32" s="51"/>
      <c r="E32" s="48"/>
      <c r="F32" s="48"/>
      <c r="G32" s="48"/>
    </row>
    <row r="33" spans="1:21" x14ac:dyDescent="0.2">
      <c r="A33" s="73"/>
      <c r="B33" s="74"/>
      <c r="C33" s="73"/>
      <c r="D33" s="73"/>
      <c r="E33" s="73"/>
      <c r="F33" s="74"/>
      <c r="G33" s="74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6"/>
    </row>
    <row r="34" spans="1:21" x14ac:dyDescent="0.2">
      <c r="A34" s="51"/>
      <c r="B34" s="48"/>
      <c r="C34" s="51"/>
      <c r="D34" s="51"/>
      <c r="E34" s="51"/>
      <c r="F34" s="48"/>
      <c r="G34" s="48"/>
    </row>
    <row r="35" spans="1:21" x14ac:dyDescent="0.2">
      <c r="A35" s="51"/>
      <c r="B35" s="48"/>
      <c r="C35" s="51"/>
      <c r="D35" s="51"/>
      <c r="E35" s="51"/>
      <c r="F35" s="48"/>
      <c r="G35" s="48"/>
    </row>
    <row r="36" spans="1:21" ht="13.5" thickBot="1" x14ac:dyDescent="0.25">
      <c r="H36" s="50"/>
      <c r="I36" s="50"/>
      <c r="J36" s="50"/>
      <c r="K36" s="50"/>
      <c r="L36" s="50"/>
      <c r="M36" s="50"/>
      <c r="N36" s="50"/>
      <c r="O36" s="50"/>
      <c r="P36" s="50"/>
      <c r="Q36" s="50"/>
    </row>
    <row r="37" spans="1:21" ht="13.5" thickBot="1" x14ac:dyDescent="0.25">
      <c r="A37" s="166" t="s">
        <v>56</v>
      </c>
      <c r="B37" s="167"/>
      <c r="C37" s="167"/>
      <c r="D37" s="167"/>
      <c r="E37" s="167"/>
      <c r="F37" s="168"/>
      <c r="G37" s="51"/>
      <c r="H37" s="50"/>
      <c r="I37" s="50"/>
      <c r="J37" s="50"/>
      <c r="K37" s="50"/>
      <c r="L37" s="50"/>
      <c r="M37" s="50"/>
      <c r="N37" s="50"/>
      <c r="O37" s="50"/>
      <c r="P37" s="50"/>
      <c r="Q37" s="50"/>
    </row>
    <row r="38" spans="1:21" ht="13.5" thickBot="1" x14ac:dyDescent="0.25">
      <c r="B38" s="49"/>
      <c r="D38" s="51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</row>
    <row r="39" spans="1:21" ht="26.25" thickBot="1" x14ac:dyDescent="0.25">
      <c r="B39" s="77" t="s">
        <v>57</v>
      </c>
      <c r="C39" s="78" t="s">
        <v>58</v>
      </c>
      <c r="D39" s="79" t="s">
        <v>59</v>
      </c>
      <c r="E39" s="80" t="s">
        <v>40</v>
      </c>
      <c r="F39" s="81" t="s">
        <v>41</v>
      </c>
      <c r="G39" s="81" t="s">
        <v>42</v>
      </c>
      <c r="H39" s="81" t="s">
        <v>43</v>
      </c>
      <c r="I39" s="81" t="s">
        <v>44</v>
      </c>
      <c r="J39" s="81" t="s">
        <v>45</v>
      </c>
      <c r="K39" s="81" t="s">
        <v>46</v>
      </c>
      <c r="L39" s="81" t="s">
        <v>47</v>
      </c>
      <c r="M39" s="81" t="s">
        <v>48</v>
      </c>
      <c r="N39" s="81" t="s">
        <v>49</v>
      </c>
      <c r="O39" s="81" t="s">
        <v>50</v>
      </c>
      <c r="P39" s="82" t="s">
        <v>51</v>
      </c>
      <c r="Q39" s="50"/>
      <c r="R39" s="83"/>
      <c r="S39" s="129"/>
      <c r="T39" s="129"/>
    </row>
    <row r="40" spans="1:21" s="83" customFormat="1" ht="14.25" x14ac:dyDescent="0.2">
      <c r="A40" s="83" t="s">
        <v>8</v>
      </c>
      <c r="B40" s="151">
        <v>920385016.21000004</v>
      </c>
      <c r="C40" s="84">
        <f>SUM(E40:P40)</f>
        <v>853301585.67000008</v>
      </c>
      <c r="D40" s="85">
        <f>C40/B40</f>
        <v>0.92711373027753219</v>
      </c>
      <c r="E40" s="130">
        <v>14053.449999999999</v>
      </c>
      <c r="F40" s="130">
        <v>17695604.080000002</v>
      </c>
      <c r="G40" s="130">
        <f>102724387.24+5159983.95000005</f>
        <v>107884371.19000004</v>
      </c>
      <c r="H40" s="130">
        <f>340581323.85+22630337.52+189733.190000057</f>
        <v>363401394.56000006</v>
      </c>
      <c r="I40" s="130">
        <f>281567572.17+95</f>
        <v>281567667.17000002</v>
      </c>
      <c r="J40" s="130">
        <f>22116890.82+46219619.3399998</f>
        <v>68336510.159999803</v>
      </c>
      <c r="K40" s="130">
        <f>8714878.75-25610.9999997615</f>
        <v>8689267.7500002384</v>
      </c>
      <c r="L40" s="130">
        <v>5712717.3100000005</v>
      </c>
      <c r="M40" s="130"/>
      <c r="N40" s="130"/>
      <c r="O40" s="130"/>
      <c r="P40" s="130"/>
      <c r="R40" s="137"/>
      <c r="S40" s="143">
        <v>853301585.67000008</v>
      </c>
      <c r="T40" s="129">
        <f>S40-C40</f>
        <v>0</v>
      </c>
      <c r="U40" s="129">
        <v>-25610.999999761501</v>
      </c>
    </row>
    <row r="41" spans="1:21" s="83" customFormat="1" ht="14.25" x14ac:dyDescent="0.2">
      <c r="A41" s="83" t="s">
        <v>9</v>
      </c>
      <c r="B41" s="152">
        <v>9000000</v>
      </c>
      <c r="C41" s="86">
        <f>SUM(E41:P41)</f>
        <v>13284172.110000001</v>
      </c>
      <c r="D41" s="87">
        <f>C41/B41</f>
        <v>1.4760191233333335</v>
      </c>
      <c r="E41" s="131">
        <v>1515669.89</v>
      </c>
      <c r="F41" s="131">
        <v>1137720.8500000001</v>
      </c>
      <c r="G41" s="131">
        <v>857068.02</v>
      </c>
      <c r="H41" s="131">
        <v>805959.09</v>
      </c>
      <c r="I41" s="131">
        <v>1037531.31</v>
      </c>
      <c r="J41" s="131">
        <f>0+2187695.57</f>
        <v>2187695.5699999998</v>
      </c>
      <c r="K41" s="131">
        <v>2834426.23</v>
      </c>
      <c r="L41" s="131">
        <v>2908101.15</v>
      </c>
      <c r="M41" s="131"/>
      <c r="N41" s="131"/>
      <c r="O41" s="131"/>
      <c r="P41" s="131"/>
      <c r="R41" s="137"/>
      <c r="S41" s="143">
        <v>13284172.109999999</v>
      </c>
      <c r="T41" s="129">
        <f t="shared" ref="T41:T43" si="4">S41-C41</f>
        <v>0</v>
      </c>
      <c r="U41" s="129">
        <v>2834426.23</v>
      </c>
    </row>
    <row r="42" spans="1:21" s="83" customFormat="1" ht="14.25" x14ac:dyDescent="0.2">
      <c r="A42" s="83" t="s">
        <v>10</v>
      </c>
      <c r="B42" s="152">
        <v>524467713.62</v>
      </c>
      <c r="C42" s="86">
        <f>SUM(E42:P42)</f>
        <v>319416413.77999997</v>
      </c>
      <c r="D42" s="87">
        <f>C42/B42</f>
        <v>0.60902969903583282</v>
      </c>
      <c r="E42" s="131">
        <v>7247206.2800000003</v>
      </c>
      <c r="F42" s="131">
        <v>8095535.3399999999</v>
      </c>
      <c r="G42" s="131">
        <v>50424050</v>
      </c>
      <c r="H42" s="131">
        <f>50469643.26+14637917-14637917</f>
        <v>50469643.259999998</v>
      </c>
      <c r="I42" s="131">
        <f>50366042.56+271837.00000003</f>
        <v>50637879.560000032</v>
      </c>
      <c r="J42" s="131">
        <f>60187450.78-271837.00000006</f>
        <v>59915613.779999942</v>
      </c>
      <c r="K42" s="131">
        <v>49931804</v>
      </c>
      <c r="L42" s="131">
        <v>42694681.560000002</v>
      </c>
      <c r="M42" s="131"/>
      <c r="N42" s="131"/>
      <c r="O42" s="131"/>
      <c r="P42" s="131"/>
      <c r="R42" s="137"/>
      <c r="S42" s="143">
        <v>319416413.77999997</v>
      </c>
      <c r="T42" s="129">
        <f t="shared" si="4"/>
        <v>0</v>
      </c>
      <c r="U42" s="129">
        <v>0</v>
      </c>
    </row>
    <row r="43" spans="1:21" s="83" customFormat="1" ht="15" thickBot="1" x14ac:dyDescent="0.25">
      <c r="A43" s="83" t="s">
        <v>11</v>
      </c>
      <c r="B43" s="153">
        <v>1433772</v>
      </c>
      <c r="C43" s="86">
        <f>SUM(E43:P43)</f>
        <v>144688.56999999998</v>
      </c>
      <c r="D43" s="88">
        <f>C43/B43</f>
        <v>0.10091462938319341</v>
      </c>
      <c r="E43" s="132">
        <v>-3178.04</v>
      </c>
      <c r="F43" s="132">
        <v>18280.689999999999</v>
      </c>
      <c r="G43" s="132">
        <v>59356.54</v>
      </c>
      <c r="H43" s="132">
        <v>3290.63</v>
      </c>
      <c r="I43" s="132">
        <v>100</v>
      </c>
      <c r="J43" s="132">
        <f>55519.78+4658.50999999998</f>
        <v>60178.289999999979</v>
      </c>
      <c r="K43" s="132">
        <v>6660.46</v>
      </c>
      <c r="L43" s="132">
        <v>0</v>
      </c>
      <c r="M43" s="132"/>
      <c r="N43" s="132"/>
      <c r="O43" s="132"/>
      <c r="P43" s="132"/>
      <c r="R43" s="138"/>
      <c r="S43" s="143">
        <v>144688.56999999998</v>
      </c>
      <c r="T43" s="129">
        <f t="shared" si="4"/>
        <v>0</v>
      </c>
      <c r="U43" s="129">
        <v>0</v>
      </c>
    </row>
    <row r="44" spans="1:21" s="89" customFormat="1" ht="12.75" customHeight="1" thickBot="1" x14ac:dyDescent="0.25">
      <c r="B44" s="90">
        <f>SUM(B40:B43)</f>
        <v>1455286501.8299999</v>
      </c>
      <c r="C44" s="91">
        <f>SUM(C40:C43)</f>
        <v>1186146860.1299999</v>
      </c>
      <c r="D44" s="92">
        <f>C44/B44</f>
        <v>0.8150607173490847</v>
      </c>
      <c r="E44" s="93">
        <f>SUM(E40:E43)</f>
        <v>8773751.5800000019</v>
      </c>
      <c r="F44" s="94">
        <f t="shared" ref="F44:P44" si="5">SUM(F40:F43)</f>
        <v>26947140.960000005</v>
      </c>
      <c r="G44" s="94">
        <f t="shared" si="5"/>
        <v>159224845.75000003</v>
      </c>
      <c r="H44" s="94">
        <f t="shared" si="5"/>
        <v>414680287.54000002</v>
      </c>
      <c r="I44" s="94">
        <f t="shared" si="5"/>
        <v>333243178.04000008</v>
      </c>
      <c r="J44" s="94">
        <f t="shared" si="5"/>
        <v>130499997.79999974</v>
      </c>
      <c r="K44" s="94">
        <f t="shared" si="5"/>
        <v>61462158.440000243</v>
      </c>
      <c r="L44" s="94">
        <f t="shared" si="5"/>
        <v>51315500.020000003</v>
      </c>
      <c r="M44" s="94">
        <f t="shared" si="5"/>
        <v>0</v>
      </c>
      <c r="N44" s="94">
        <f t="shared" si="5"/>
        <v>0</v>
      </c>
      <c r="O44" s="94">
        <f t="shared" si="5"/>
        <v>0</v>
      </c>
      <c r="P44" s="94">
        <f t="shared" si="5"/>
        <v>0</v>
      </c>
      <c r="Q44" s="50"/>
      <c r="R44" s="49"/>
      <c r="S44" s="95"/>
      <c r="T44" s="95"/>
      <c r="U44" s="145"/>
    </row>
    <row r="45" spans="1:21" ht="13.5" thickBot="1" x14ac:dyDescent="0.25">
      <c r="B45" s="49"/>
      <c r="C45" s="95"/>
      <c r="E45" s="49"/>
      <c r="L45" s="50"/>
      <c r="M45" s="50"/>
      <c r="N45" s="50"/>
      <c r="O45" s="50"/>
      <c r="P45" s="50"/>
      <c r="Q45" s="50"/>
    </row>
    <row r="46" spans="1:21" s="89" customFormat="1" ht="12.75" customHeight="1" x14ac:dyDescent="0.2">
      <c r="A46" s="96" t="s">
        <v>60</v>
      </c>
      <c r="B46" s="97">
        <f>+B40+B41+B43</f>
        <v>930818788.21000004</v>
      </c>
      <c r="C46" s="84">
        <f>+C40+C41+C43</f>
        <v>866730446.35000014</v>
      </c>
      <c r="D46" s="98">
        <f>C46/B46</f>
        <v>0.9311484225804636</v>
      </c>
      <c r="E46" s="99">
        <f>+E40+E41+E43</f>
        <v>1526545.2999999998</v>
      </c>
      <c r="F46" s="99">
        <f t="shared" ref="F46:P46" si="6">+F40+F41+F43</f>
        <v>18851605.620000005</v>
      </c>
      <c r="G46" s="99">
        <f t="shared" si="6"/>
        <v>108800795.75000004</v>
      </c>
      <c r="H46" s="99">
        <f t="shared" si="6"/>
        <v>364210644.28000003</v>
      </c>
      <c r="I46" s="99">
        <f t="shared" si="6"/>
        <v>282605298.48000002</v>
      </c>
      <c r="J46" s="99">
        <f t="shared" si="6"/>
        <v>70584384.019999802</v>
      </c>
      <c r="K46" s="99">
        <f t="shared" si="6"/>
        <v>11530354.44000024</v>
      </c>
      <c r="L46" s="99">
        <f t="shared" si="6"/>
        <v>8620818.4600000009</v>
      </c>
      <c r="M46" s="99">
        <f t="shared" si="6"/>
        <v>0</v>
      </c>
      <c r="N46" s="99">
        <f t="shared" si="6"/>
        <v>0</v>
      </c>
      <c r="O46" s="99">
        <f t="shared" si="6"/>
        <v>0</v>
      </c>
      <c r="P46" s="99">
        <f t="shared" si="6"/>
        <v>0</v>
      </c>
      <c r="Q46" s="50"/>
      <c r="R46" s="50"/>
      <c r="S46" s="95"/>
      <c r="T46" s="95"/>
      <c r="U46" s="145"/>
    </row>
    <row r="47" spans="1:21" s="89" customFormat="1" ht="12.75" customHeight="1" thickBot="1" x14ac:dyDescent="0.25">
      <c r="A47" s="96" t="s">
        <v>61</v>
      </c>
      <c r="B47" s="100">
        <f>B42</f>
        <v>524467713.62</v>
      </c>
      <c r="C47" s="101">
        <f>C71</f>
        <v>319416413.77999997</v>
      </c>
      <c r="D47" s="102">
        <f>C47/B47</f>
        <v>0.60902969903583282</v>
      </c>
      <c r="E47" s="103">
        <f>E42</f>
        <v>7247206.2800000003</v>
      </c>
      <c r="F47" s="103">
        <f t="shared" ref="F47:P47" si="7">F42</f>
        <v>8095535.3399999999</v>
      </c>
      <c r="G47" s="103">
        <f t="shared" si="7"/>
        <v>50424050</v>
      </c>
      <c r="H47" s="103">
        <f t="shared" si="7"/>
        <v>50469643.259999998</v>
      </c>
      <c r="I47" s="103">
        <f t="shared" si="7"/>
        <v>50637879.560000032</v>
      </c>
      <c r="J47" s="103">
        <f t="shared" si="7"/>
        <v>59915613.779999942</v>
      </c>
      <c r="K47" s="103">
        <f t="shared" si="7"/>
        <v>49931804</v>
      </c>
      <c r="L47" s="103">
        <f t="shared" si="7"/>
        <v>42694681.560000002</v>
      </c>
      <c r="M47" s="103">
        <f t="shared" si="7"/>
        <v>0</v>
      </c>
      <c r="N47" s="103">
        <f t="shared" si="7"/>
        <v>0</v>
      </c>
      <c r="O47" s="103">
        <f t="shared" si="7"/>
        <v>0</v>
      </c>
      <c r="P47" s="103">
        <f t="shared" si="7"/>
        <v>0</v>
      </c>
      <c r="Q47" s="50"/>
      <c r="R47" s="50"/>
      <c r="S47" s="95"/>
      <c r="T47" s="95"/>
      <c r="U47" s="145"/>
    </row>
    <row r="48" spans="1:21" s="89" customFormat="1" ht="12.75" customHeight="1" thickBot="1" x14ac:dyDescent="0.25">
      <c r="B48" s="90">
        <f>SUM(B46:B47)</f>
        <v>1455286501.8299999</v>
      </c>
      <c r="C48" s="104">
        <f>SUM(E48:P48)</f>
        <v>1186146860.1300001</v>
      </c>
      <c r="D48" s="105">
        <f>C48/B48</f>
        <v>0.81506071734908492</v>
      </c>
      <c r="E48" s="106">
        <f>+E46+E47</f>
        <v>8773751.5800000001</v>
      </c>
      <c r="F48" s="107">
        <f t="shared" ref="F48:P48" si="8">+F46+F47</f>
        <v>26947140.960000005</v>
      </c>
      <c r="G48" s="107">
        <f t="shared" si="8"/>
        <v>159224845.75000006</v>
      </c>
      <c r="H48" s="107">
        <f t="shared" si="8"/>
        <v>414680287.54000002</v>
      </c>
      <c r="I48" s="107">
        <f t="shared" si="8"/>
        <v>333243178.04000008</v>
      </c>
      <c r="J48" s="107">
        <f t="shared" si="8"/>
        <v>130499997.79999974</v>
      </c>
      <c r="K48" s="107">
        <f t="shared" si="8"/>
        <v>61462158.440000236</v>
      </c>
      <c r="L48" s="107">
        <f t="shared" si="8"/>
        <v>51315500.020000003</v>
      </c>
      <c r="M48" s="107">
        <f t="shared" si="8"/>
        <v>0</v>
      </c>
      <c r="N48" s="107">
        <f t="shared" si="8"/>
        <v>0</v>
      </c>
      <c r="O48" s="107">
        <f t="shared" si="8"/>
        <v>0</v>
      </c>
      <c r="P48" s="108">
        <f t="shared" si="8"/>
        <v>0</v>
      </c>
      <c r="Q48" s="50"/>
      <c r="R48" s="50"/>
      <c r="S48" s="95"/>
      <c r="T48" s="95"/>
      <c r="U48" s="145"/>
    </row>
    <row r="49" spans="1:21" s="89" customFormat="1" ht="12.75" customHeight="1" thickBot="1" x14ac:dyDescent="0.25"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95"/>
      <c r="T49" s="95"/>
      <c r="U49" s="145"/>
    </row>
    <row r="50" spans="1:21" s="89" customFormat="1" ht="12.75" customHeight="1" thickBot="1" x14ac:dyDescent="0.25">
      <c r="C50" s="158" t="s">
        <v>62</v>
      </c>
      <c r="D50" s="159"/>
      <c r="E50" s="109" t="s">
        <v>40</v>
      </c>
      <c r="F50" s="110" t="s">
        <v>41</v>
      </c>
      <c r="G50" s="110" t="s">
        <v>42</v>
      </c>
      <c r="H50" s="110" t="s">
        <v>43</v>
      </c>
      <c r="I50" s="110" t="s">
        <v>44</v>
      </c>
      <c r="J50" s="110" t="s">
        <v>45</v>
      </c>
      <c r="K50" s="110" t="s">
        <v>46</v>
      </c>
      <c r="L50" s="110" t="s">
        <v>47</v>
      </c>
      <c r="M50" s="110" t="s">
        <v>48</v>
      </c>
      <c r="N50" s="110" t="s">
        <v>49</v>
      </c>
      <c r="O50" s="110" t="s">
        <v>50</v>
      </c>
      <c r="P50" s="53" t="s">
        <v>51</v>
      </c>
      <c r="Q50" s="50"/>
      <c r="R50" s="50"/>
      <c r="S50" s="95"/>
      <c r="T50" s="95"/>
      <c r="U50" s="145"/>
    </row>
    <row r="51" spans="1:21" s="89" customFormat="1" ht="12.75" customHeight="1" x14ac:dyDescent="0.2">
      <c r="C51" s="111" t="s">
        <v>60</v>
      </c>
      <c r="D51" s="50"/>
      <c r="E51" s="49">
        <f>E46</f>
        <v>1526545.2999999998</v>
      </c>
      <c r="F51" s="49">
        <f>E51+F46</f>
        <v>20378150.920000006</v>
      </c>
      <c r="G51" s="49">
        <f t="shared" ref="G51:P52" si="9">F51+G46</f>
        <v>129178946.67000005</v>
      </c>
      <c r="H51" s="49">
        <f t="shared" si="9"/>
        <v>493389590.95000005</v>
      </c>
      <c r="I51" s="49">
        <f t="shared" si="9"/>
        <v>775994889.43000007</v>
      </c>
      <c r="J51" s="49">
        <f t="shared" si="9"/>
        <v>846579273.44999981</v>
      </c>
      <c r="K51" s="49">
        <f t="shared" si="9"/>
        <v>858109627.8900001</v>
      </c>
      <c r="L51" s="49">
        <f t="shared" si="9"/>
        <v>866730446.35000014</v>
      </c>
      <c r="M51" s="49">
        <f t="shared" si="9"/>
        <v>866730446.35000014</v>
      </c>
      <c r="N51" s="49">
        <f t="shared" si="9"/>
        <v>866730446.35000014</v>
      </c>
      <c r="O51" s="49">
        <f t="shared" si="9"/>
        <v>866730446.35000014</v>
      </c>
      <c r="P51" s="49">
        <f t="shared" si="9"/>
        <v>866730446.35000014</v>
      </c>
      <c r="Q51" s="50"/>
      <c r="R51" s="50"/>
      <c r="S51" s="95"/>
      <c r="T51" s="95"/>
      <c r="U51" s="145"/>
    </row>
    <row r="52" spans="1:21" s="89" customFormat="1" ht="12.75" customHeight="1" thickBot="1" x14ac:dyDescent="0.25">
      <c r="C52" s="111" t="s">
        <v>61</v>
      </c>
      <c r="D52" s="50"/>
      <c r="E52" s="49">
        <f>E47</f>
        <v>7247206.2800000003</v>
      </c>
      <c r="F52" s="49">
        <f>E52+F47</f>
        <v>15342741.620000001</v>
      </c>
      <c r="G52" s="49">
        <f t="shared" si="9"/>
        <v>65766791.620000005</v>
      </c>
      <c r="H52" s="49">
        <f t="shared" si="9"/>
        <v>116236434.88</v>
      </c>
      <c r="I52" s="49">
        <f t="shared" si="9"/>
        <v>166874314.44000003</v>
      </c>
      <c r="J52" s="49">
        <f t="shared" si="9"/>
        <v>226789928.21999997</v>
      </c>
      <c r="K52" s="49">
        <f t="shared" si="9"/>
        <v>276721732.21999997</v>
      </c>
      <c r="L52" s="49">
        <f t="shared" si="9"/>
        <v>319416413.77999997</v>
      </c>
      <c r="M52" s="49">
        <f t="shared" si="9"/>
        <v>319416413.77999997</v>
      </c>
      <c r="N52" s="49">
        <f t="shared" si="9"/>
        <v>319416413.77999997</v>
      </c>
      <c r="O52" s="49">
        <f t="shared" si="9"/>
        <v>319416413.77999997</v>
      </c>
      <c r="P52" s="49">
        <f t="shared" si="9"/>
        <v>319416413.77999997</v>
      </c>
      <c r="Q52" s="50"/>
      <c r="R52" s="50"/>
      <c r="S52" s="95"/>
      <c r="T52" s="95"/>
      <c r="U52" s="145"/>
    </row>
    <row r="53" spans="1:21" s="89" customFormat="1" ht="12.75" customHeight="1" thickBot="1" x14ac:dyDescent="0.25">
      <c r="C53" s="112" t="s">
        <v>63</v>
      </c>
      <c r="D53" s="50"/>
      <c r="E53" s="113">
        <f>+E51+E52</f>
        <v>8773751.5800000001</v>
      </c>
      <c r="F53" s="113">
        <f t="shared" ref="F53:P53" si="10">+F51+F52</f>
        <v>35720892.540000007</v>
      </c>
      <c r="G53" s="113">
        <f t="shared" si="10"/>
        <v>194945738.29000005</v>
      </c>
      <c r="H53" s="113">
        <f t="shared" si="10"/>
        <v>609626025.83000004</v>
      </c>
      <c r="I53" s="113">
        <f t="shared" si="10"/>
        <v>942869203.87000012</v>
      </c>
      <c r="J53" s="113">
        <f t="shared" si="10"/>
        <v>1073369201.6699998</v>
      </c>
      <c r="K53" s="113">
        <f t="shared" si="10"/>
        <v>1134831360.1100001</v>
      </c>
      <c r="L53" s="113">
        <f t="shared" si="10"/>
        <v>1186146860.1300001</v>
      </c>
      <c r="M53" s="113">
        <f t="shared" si="10"/>
        <v>1186146860.1300001</v>
      </c>
      <c r="N53" s="113">
        <f t="shared" si="10"/>
        <v>1186146860.1300001</v>
      </c>
      <c r="O53" s="113">
        <f t="shared" si="10"/>
        <v>1186146860.1300001</v>
      </c>
      <c r="P53" s="113">
        <f t="shared" si="10"/>
        <v>1186146860.1300001</v>
      </c>
      <c r="Q53" s="50"/>
      <c r="R53" s="50"/>
      <c r="S53" s="95"/>
      <c r="T53" s="95"/>
      <c r="U53" s="145"/>
    </row>
    <row r="54" spans="1:21" s="89" customFormat="1" ht="12.75" customHeight="1" x14ac:dyDescent="0.2">
      <c r="C54" s="114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95"/>
      <c r="T54" s="95"/>
      <c r="U54" s="145"/>
    </row>
    <row r="55" spans="1:21" ht="38.25" x14ac:dyDescent="0.2">
      <c r="A55" s="95"/>
      <c r="B55" s="140" t="str">
        <f>"(LOCAL &amp; OTHER)" &amp; "  " &amp; "Budgeted: " &amp; TEXT(B46,"$#,##0")  &amp; "  " &amp; "Actual: " &amp; TEXT(C46,"$#,##0") &amp; "  " &amp; TEXT(D46,"###.00%") &amp; CHAR(10) &amp; "(STATE)" &amp; "  " &amp; "Budgeted: " &amp; TEXT(B47,"$#,##0") &amp; "  " &amp; "Actual: " &amp; TEXT(C47,"$#,##0") &amp; "   " &amp; TEXT(D47,"###.00%") &amp; CHAR(10) &amp; "TOTAL Budgeted: " &amp; TEXT(B48,"$#,##0") &amp; "  " &amp; "Actual: " &amp; TEXT(C48,"$#,##0") &amp; "   " &amp; TEXT(D48,"###.00%")</f>
        <v>(LOCAL &amp; OTHER)  Budgeted: $930,818,788  Actual: $866,730,446  93.11%
(STATE)  Budgeted: $524,467,714  Actual: $319,416,414   60.90%
TOTAL Budgeted: $1,455,286,502  Actual: $1,186,146,860   81.51%</v>
      </c>
      <c r="C55" s="140"/>
      <c r="D55" s="140"/>
      <c r="E55" s="140"/>
      <c r="F55" s="140"/>
      <c r="G55" s="140"/>
      <c r="H55" s="140"/>
      <c r="I55" s="140"/>
      <c r="J55" s="140"/>
      <c r="K55" s="140"/>
      <c r="Q55" s="50"/>
      <c r="R55" s="141" t="s">
        <v>83</v>
      </c>
      <c r="T55" s="139"/>
      <c r="U55" s="139"/>
    </row>
    <row r="56" spans="1:21" x14ac:dyDescent="0.2">
      <c r="B56" s="157" t="str">
        <f>"(STATE)" &amp; CHAR(9) &amp; "Budgeted: " &amp; TEXT(B47,"$#,##0") &amp; CHAR(9) &amp; "Actual: " &amp; TEXT(C47,"$#,##0") &amp; "   " &amp; TEXT(D47,"###.00%")</f>
        <v>(STATE)	Budgeted: $524,467,714	Actual: $319,416,414   60.90%</v>
      </c>
      <c r="C56" s="157"/>
      <c r="D56" s="157"/>
      <c r="E56" s="157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127"/>
    </row>
    <row r="57" spans="1:21" x14ac:dyDescent="0.2">
      <c r="B57" s="157" t="str">
        <f>"TOTAL Budgeted: " &amp; TEXT(B48,"$#,##0") &amp; CHAR(9) &amp; "Actual: " &amp; TEXT(C48,"$#,##0") &amp; "   " &amp; TEXT(D48,"###.00%")</f>
        <v>TOTAL Budgeted: $1,455,286,502	Actual: $1,186,146,860   81.51%</v>
      </c>
      <c r="C57" s="157"/>
      <c r="D57" s="157"/>
      <c r="E57" s="157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49"/>
    </row>
    <row r="58" spans="1:21" x14ac:dyDescent="0.2">
      <c r="B58" s="115"/>
      <c r="C58" s="116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49"/>
    </row>
    <row r="59" spans="1:21" ht="13.5" thickBot="1" x14ac:dyDescent="0.25">
      <c r="B59" s="49"/>
      <c r="C59" s="95"/>
      <c r="E59" s="49"/>
      <c r="L59" s="50"/>
      <c r="M59" s="50"/>
      <c r="N59" s="50"/>
      <c r="O59" s="50"/>
      <c r="P59" s="50"/>
      <c r="Q59" s="50"/>
    </row>
    <row r="60" spans="1:21" s="95" customFormat="1" ht="26.25" thickBot="1" x14ac:dyDescent="0.25">
      <c r="A60" s="117" t="s">
        <v>32</v>
      </c>
      <c r="B60" s="118" t="s">
        <v>33</v>
      </c>
      <c r="P60" s="50"/>
      <c r="Q60" s="50"/>
      <c r="R60" s="50"/>
    </row>
    <row r="61" spans="1:21" s="95" customFormat="1" x14ac:dyDescent="0.2">
      <c r="A61" s="119" t="s">
        <v>8</v>
      </c>
      <c r="B61" s="120">
        <v>920385016.21000004</v>
      </c>
      <c r="C61" s="49"/>
      <c r="N61" s="121"/>
      <c r="O61" s="50"/>
      <c r="P61" s="50"/>
      <c r="Q61" s="50"/>
      <c r="R61" s="50"/>
    </row>
    <row r="62" spans="1:21" x14ac:dyDescent="0.2">
      <c r="A62" s="119" t="s">
        <v>9</v>
      </c>
      <c r="B62" s="120">
        <v>9000000</v>
      </c>
      <c r="C62" s="49"/>
      <c r="E62" s="49"/>
      <c r="G62" s="95"/>
      <c r="I62" s="95"/>
      <c r="J62" s="95"/>
      <c r="K62" s="95"/>
      <c r="L62" s="95"/>
      <c r="M62" s="50"/>
      <c r="N62" s="121"/>
      <c r="O62" s="122"/>
      <c r="P62" s="50"/>
      <c r="Q62" s="50"/>
    </row>
    <row r="63" spans="1:21" x14ac:dyDescent="0.2">
      <c r="A63" s="119" t="s">
        <v>10</v>
      </c>
      <c r="B63" s="120">
        <v>524467713.62</v>
      </c>
      <c r="C63" s="49"/>
      <c r="E63" s="49"/>
      <c r="G63" s="95"/>
      <c r="I63" s="95"/>
      <c r="J63" s="95"/>
      <c r="K63" s="95"/>
      <c r="L63" s="95"/>
      <c r="M63" s="50"/>
      <c r="N63" s="121"/>
      <c r="O63" s="122"/>
      <c r="P63" s="50"/>
      <c r="Q63" s="50"/>
    </row>
    <row r="64" spans="1:21" ht="13.5" thickBot="1" x14ac:dyDescent="0.25">
      <c r="A64" s="119" t="s">
        <v>11</v>
      </c>
      <c r="B64" s="120">
        <v>1433772</v>
      </c>
      <c r="C64" s="49"/>
      <c r="E64" s="49"/>
      <c r="G64" s="95"/>
      <c r="I64" s="95"/>
      <c r="J64" s="95"/>
      <c r="K64" s="95"/>
      <c r="L64" s="95"/>
      <c r="M64" s="50"/>
      <c r="N64" s="121"/>
      <c r="O64" s="122"/>
      <c r="P64" s="50"/>
      <c r="Q64" s="50"/>
    </row>
    <row r="65" spans="1:20" ht="13.5" thickBot="1" x14ac:dyDescent="0.25">
      <c r="A65" s="123" t="s">
        <v>64</v>
      </c>
      <c r="B65" s="124">
        <f>SUM(B61:B64)</f>
        <v>1455286501.8299999</v>
      </c>
      <c r="C65" s="95"/>
      <c r="D65" s="95"/>
      <c r="E65" s="49"/>
      <c r="G65" s="95"/>
      <c r="H65" s="49" t="str">
        <f xml:space="preserve"> CHAR(9)</f>
        <v xml:space="preserve">	</v>
      </c>
      <c r="I65" s="95"/>
      <c r="J65" s="95"/>
      <c r="K65" s="95"/>
      <c r="L65" s="95"/>
      <c r="M65" s="95"/>
      <c r="N65" s="50"/>
      <c r="O65" s="121"/>
      <c r="P65" s="122"/>
      <c r="Q65" s="50"/>
    </row>
    <row r="66" spans="1:20" x14ac:dyDescent="0.2">
      <c r="C66" s="95"/>
      <c r="D66" s="95"/>
      <c r="E66" s="49"/>
      <c r="G66" s="95"/>
      <c r="I66" s="95"/>
      <c r="J66" s="95"/>
      <c r="K66" s="95"/>
      <c r="L66" s="95"/>
      <c r="M66" s="50"/>
      <c r="N66" s="121"/>
      <c r="O66" s="122"/>
      <c r="P66" s="50"/>
      <c r="Q66" s="50"/>
    </row>
    <row r="67" spans="1:20" ht="13.5" thickBot="1" x14ac:dyDescent="0.25">
      <c r="C67" s="49"/>
      <c r="D67" s="95"/>
      <c r="E67" s="49"/>
      <c r="I67" s="95"/>
      <c r="J67" s="95"/>
      <c r="K67" s="95"/>
      <c r="L67" s="95"/>
      <c r="M67" s="95"/>
      <c r="N67" s="50"/>
      <c r="O67" s="121"/>
      <c r="P67" s="122"/>
      <c r="Q67" s="50"/>
    </row>
    <row r="68" spans="1:20" ht="26.25" thickBot="1" x14ac:dyDescent="0.25">
      <c r="B68" s="112" t="s">
        <v>66</v>
      </c>
      <c r="C68" s="125" t="s">
        <v>65</v>
      </c>
      <c r="D68" s="95"/>
      <c r="E68" s="49"/>
      <c r="G68" s="95"/>
      <c r="H68" s="95"/>
      <c r="I68" s="95"/>
      <c r="J68" s="95"/>
      <c r="K68" s="95"/>
      <c r="L68" s="95"/>
      <c r="M68" s="50"/>
      <c r="N68" s="121"/>
      <c r="O68" s="122"/>
      <c r="P68" s="50"/>
      <c r="Q68" s="50"/>
    </row>
    <row r="69" spans="1:20" x14ac:dyDescent="0.2">
      <c r="A69" s="95" t="s">
        <v>8</v>
      </c>
      <c r="B69" s="49">
        <v>920385016.21000004</v>
      </c>
      <c r="C69" s="49">
        <v>853301585.67000008</v>
      </c>
      <c r="D69" s="95"/>
      <c r="E69" s="49"/>
      <c r="G69" s="95"/>
      <c r="H69" s="95"/>
      <c r="I69" s="95"/>
      <c r="J69" s="95"/>
      <c r="K69" s="95"/>
      <c r="L69" s="95"/>
      <c r="M69" s="50"/>
      <c r="N69" s="121"/>
      <c r="O69" s="122"/>
      <c r="P69" s="50"/>
      <c r="Q69" s="50"/>
    </row>
    <row r="70" spans="1:20" x14ac:dyDescent="0.2">
      <c r="A70" s="95" t="s">
        <v>9</v>
      </c>
      <c r="B70" s="49">
        <v>9000000</v>
      </c>
      <c r="C70" s="49">
        <v>13284172.110000001</v>
      </c>
      <c r="D70" s="95"/>
      <c r="E70" s="49"/>
      <c r="G70" s="95"/>
      <c r="H70" s="95"/>
      <c r="I70" s="95"/>
      <c r="J70" s="95"/>
      <c r="K70" s="95"/>
      <c r="L70" s="95"/>
      <c r="M70" s="50"/>
      <c r="N70" s="121"/>
      <c r="O70" s="122"/>
      <c r="P70" s="50"/>
      <c r="Q70" s="50"/>
    </row>
    <row r="71" spans="1:20" x14ac:dyDescent="0.2">
      <c r="A71" s="95" t="s">
        <v>10</v>
      </c>
      <c r="B71" s="49">
        <v>524467713.62</v>
      </c>
      <c r="C71" s="49">
        <v>319416413.77999997</v>
      </c>
      <c r="D71" s="95"/>
      <c r="E71" s="49"/>
      <c r="G71" s="95"/>
      <c r="H71" s="95"/>
      <c r="I71" s="95"/>
      <c r="J71" s="95"/>
      <c r="K71" s="95"/>
      <c r="L71" s="95"/>
      <c r="M71" s="50"/>
      <c r="N71" s="121"/>
      <c r="O71" s="122"/>
      <c r="P71" s="50"/>
      <c r="Q71" s="50"/>
    </row>
    <row r="72" spans="1:20" x14ac:dyDescent="0.2">
      <c r="A72" s="95" t="s">
        <v>11</v>
      </c>
      <c r="B72" s="49">
        <v>1433772</v>
      </c>
      <c r="C72" s="49">
        <v>144688.56999999998</v>
      </c>
      <c r="D72" s="95"/>
      <c r="E72" s="49"/>
      <c r="H72" s="95"/>
      <c r="I72" s="95"/>
      <c r="J72" s="95"/>
      <c r="K72" s="95"/>
      <c r="L72" s="95"/>
      <c r="M72" s="50"/>
      <c r="N72" s="121"/>
      <c r="O72" s="122"/>
      <c r="P72" s="50"/>
      <c r="Q72" s="50"/>
    </row>
    <row r="73" spans="1:20" x14ac:dyDescent="0.2">
      <c r="B73" s="49"/>
      <c r="E73" s="49"/>
      <c r="H73" s="95"/>
      <c r="I73" s="95"/>
      <c r="J73" s="95"/>
      <c r="K73" s="95"/>
      <c r="L73" s="95"/>
      <c r="M73" s="50"/>
      <c r="N73" s="121"/>
      <c r="O73" s="122"/>
      <c r="P73" s="50"/>
      <c r="Q73" s="50"/>
    </row>
    <row r="74" spans="1:20" x14ac:dyDescent="0.2">
      <c r="B74" s="49"/>
      <c r="E74" s="49"/>
      <c r="P74" s="50"/>
      <c r="Q74" s="50"/>
    </row>
    <row r="75" spans="1:20" x14ac:dyDescent="0.2">
      <c r="B75" s="49"/>
      <c r="E75" s="49"/>
      <c r="P75" s="50"/>
      <c r="Q75" s="50"/>
    </row>
    <row r="76" spans="1:20" ht="12.75" customHeight="1" x14ac:dyDescent="0.2">
      <c r="C76" s="127"/>
      <c r="D76" s="127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S76" s="50"/>
      <c r="T76" s="50"/>
    </row>
    <row r="77" spans="1:20" x14ac:dyDescent="0.2">
      <c r="E77" s="49"/>
      <c r="P77" s="50"/>
      <c r="Q77" s="50"/>
    </row>
    <row r="78" spans="1:20" x14ac:dyDescent="0.2">
      <c r="E78" s="49"/>
      <c r="P78" s="50"/>
      <c r="Q78" s="50"/>
    </row>
    <row r="79" spans="1:20" x14ac:dyDescent="0.2">
      <c r="B79" s="49"/>
      <c r="E79" s="49"/>
      <c r="P79" s="50"/>
      <c r="Q79" s="50"/>
    </row>
    <row r="80" spans="1:20" x14ac:dyDescent="0.2">
      <c r="B80" s="49"/>
      <c r="E80" s="49"/>
      <c r="P80" s="50"/>
      <c r="Q80" s="50"/>
    </row>
    <row r="81" spans="5:17" x14ac:dyDescent="0.2">
      <c r="E81" s="49"/>
      <c r="P81" s="50"/>
      <c r="Q81" s="50"/>
    </row>
    <row r="82" spans="5:17" x14ac:dyDescent="0.2">
      <c r="E82" s="49"/>
      <c r="P82" s="50"/>
      <c r="Q82" s="50"/>
    </row>
    <row r="83" spans="5:17" x14ac:dyDescent="0.2">
      <c r="E83" s="49"/>
      <c r="P83" s="50"/>
      <c r="Q83" s="50"/>
    </row>
    <row r="84" spans="5:17" x14ac:dyDescent="0.2">
      <c r="E84" s="49"/>
      <c r="P84" s="50"/>
      <c r="Q84" s="50"/>
    </row>
    <row r="85" spans="5:17" x14ac:dyDescent="0.2">
      <c r="E85" s="49"/>
      <c r="Q85" s="50"/>
    </row>
    <row r="86" spans="5:17" x14ac:dyDescent="0.2">
      <c r="E86" s="49"/>
      <c r="Q86" s="50"/>
    </row>
    <row r="87" spans="5:17" x14ac:dyDescent="0.2">
      <c r="E87" s="49"/>
      <c r="Q87" s="50"/>
    </row>
    <row r="88" spans="5:17" x14ac:dyDescent="0.2">
      <c r="E88" s="49"/>
      <c r="Q88" s="50"/>
    </row>
    <row r="89" spans="5:17" x14ac:dyDescent="0.2">
      <c r="E89" s="49"/>
      <c r="Q89" s="50"/>
    </row>
    <row r="90" spans="5:17" x14ac:dyDescent="0.2">
      <c r="E90" s="49"/>
      <c r="Q90" s="50"/>
    </row>
    <row r="91" spans="5:17" x14ac:dyDescent="0.2">
      <c r="E91" s="49"/>
      <c r="Q91" s="50"/>
    </row>
    <row r="92" spans="5:17" x14ac:dyDescent="0.2">
      <c r="E92" s="49"/>
      <c r="Q92" s="50"/>
    </row>
    <row r="93" spans="5:17" x14ac:dyDescent="0.2">
      <c r="E93" s="49"/>
      <c r="Q93" s="50"/>
    </row>
    <row r="94" spans="5:17" x14ac:dyDescent="0.2">
      <c r="E94" s="49"/>
      <c r="Q94" s="50"/>
    </row>
    <row r="95" spans="5:17" x14ac:dyDescent="0.2">
      <c r="E95" s="49"/>
      <c r="Q95" s="50"/>
    </row>
    <row r="96" spans="5:17" x14ac:dyDescent="0.2">
      <c r="E96" s="49"/>
      <c r="Q96" s="50"/>
    </row>
  </sheetData>
  <mergeCells count="8">
    <mergeCell ref="B56:E56"/>
    <mergeCell ref="B57:E57"/>
    <mergeCell ref="C50:D50"/>
    <mergeCell ref="A1:G1"/>
    <mergeCell ref="A3:G3"/>
    <mergeCell ref="B27:F27"/>
    <mergeCell ref="B29:F29"/>
    <mergeCell ref="A37:F3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V105"/>
  <sheetViews>
    <sheetView workbookViewId="0">
      <selection sqref="A1:I1"/>
    </sheetView>
  </sheetViews>
  <sheetFormatPr defaultRowHeight="15" x14ac:dyDescent="0.25"/>
  <cols>
    <col min="1" max="1" width="51.7109375" style="1" customWidth="1"/>
    <col min="2" max="3" width="15.42578125" style="29" bestFit="1" customWidth="1"/>
    <col min="4" max="4" width="13.7109375" style="29" bestFit="1" customWidth="1"/>
    <col min="5" max="5" width="14.7109375" style="29" bestFit="1" customWidth="1"/>
    <col min="6" max="6" width="16.85546875" style="29" customWidth="1"/>
    <col min="7" max="7" width="14.7109375" style="29" bestFit="1" customWidth="1"/>
    <col min="8" max="8" width="15.7109375" style="29" customWidth="1"/>
    <col min="9" max="9" width="13.5703125" style="1" customWidth="1"/>
    <col min="10" max="10" width="2.42578125" style="1" customWidth="1"/>
    <col min="11" max="11" width="52.28515625" style="1" bestFit="1" customWidth="1"/>
    <col min="12" max="13" width="14.5703125" style="133" bestFit="1" customWidth="1"/>
    <col min="14" max="15" width="14.140625" style="133" customWidth="1"/>
    <col min="16" max="16" width="13.7109375" style="133" customWidth="1"/>
    <col min="17" max="19" width="9.140625" style="1"/>
    <col min="20" max="21" width="12.42578125" style="1" bestFit="1" customWidth="1"/>
    <col min="22" max="16384" width="9.140625" style="1"/>
  </cols>
  <sheetData>
    <row r="1" spans="1:22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</row>
    <row r="2" spans="1:22" ht="18.75" x14ac:dyDescent="0.3">
      <c r="A2" s="155" t="s">
        <v>76</v>
      </c>
      <c r="B2" s="155"/>
      <c r="C2" s="155"/>
      <c r="D2" s="155"/>
      <c r="E2" s="155"/>
      <c r="F2" s="155"/>
      <c r="G2" s="155"/>
      <c r="H2" s="155"/>
      <c r="I2" s="155"/>
    </row>
    <row r="3" spans="1:22" x14ac:dyDescent="0.25">
      <c r="A3" s="154" t="s">
        <v>1</v>
      </c>
      <c r="B3" s="154"/>
      <c r="C3" s="154"/>
      <c r="D3" s="154"/>
      <c r="E3" s="154"/>
      <c r="F3" s="154"/>
      <c r="G3" s="154"/>
      <c r="H3" s="154"/>
      <c r="I3" s="154"/>
    </row>
    <row r="4" spans="1:22" x14ac:dyDescent="0.25">
      <c r="A4" s="156">
        <v>45351</v>
      </c>
      <c r="B4" s="156"/>
      <c r="C4" s="156"/>
      <c r="D4" s="156"/>
      <c r="E4" s="156"/>
      <c r="F4" s="156"/>
      <c r="G4" s="156"/>
      <c r="H4" s="156"/>
      <c r="I4" s="156"/>
    </row>
    <row r="5" spans="1:22" x14ac:dyDescent="0.25">
      <c r="A5" s="154" t="s">
        <v>2</v>
      </c>
      <c r="B5" s="154"/>
      <c r="C5" s="154"/>
      <c r="D5" s="154"/>
      <c r="E5" s="154"/>
      <c r="F5" s="154"/>
      <c r="G5" s="154"/>
      <c r="H5" s="154"/>
      <c r="I5" s="154"/>
    </row>
    <row r="6" spans="1:22" ht="15.75" thickBot="1" x14ac:dyDescent="0.3">
      <c r="A6" s="154"/>
      <c r="B6" s="154"/>
      <c r="C6" s="154"/>
      <c r="D6" s="154"/>
      <c r="E6" s="154"/>
      <c r="F6" s="154"/>
      <c r="G6" s="154"/>
      <c r="H6" s="154"/>
      <c r="I6" s="154"/>
    </row>
    <row r="7" spans="1:22" s="5" customFormat="1" ht="45.75" thickBot="1" x14ac:dyDescent="0.25">
      <c r="A7" s="2" t="s">
        <v>32</v>
      </c>
      <c r="B7" s="31" t="s">
        <v>34</v>
      </c>
      <c r="C7" s="31" t="s">
        <v>33</v>
      </c>
      <c r="D7" s="31" t="s">
        <v>3</v>
      </c>
      <c r="E7" s="31" t="s">
        <v>4</v>
      </c>
      <c r="F7" s="31" t="s">
        <v>5</v>
      </c>
      <c r="G7" s="31" t="s">
        <v>6</v>
      </c>
      <c r="H7" s="31" t="s">
        <v>7</v>
      </c>
      <c r="I7" s="4" t="s">
        <v>31</v>
      </c>
      <c r="L7" s="134"/>
      <c r="M7" s="134"/>
      <c r="N7" s="134"/>
      <c r="O7" s="134"/>
      <c r="P7" s="134"/>
    </row>
    <row r="8" spans="1:22" s="5" customFormat="1" x14ac:dyDescent="0.2">
      <c r="A8" s="6" t="s">
        <v>8</v>
      </c>
      <c r="B8" s="7">
        <v>10830924.23</v>
      </c>
      <c r="C8" s="7">
        <v>10911445.26</v>
      </c>
      <c r="D8" s="7">
        <v>3268082.3200000008</v>
      </c>
      <c r="E8" s="7">
        <v>29867070.789999999</v>
      </c>
      <c r="F8" s="7">
        <v>0</v>
      </c>
      <c r="G8" s="7">
        <f t="shared" ref="G8:G12" si="0">SUM(E8:F8)</f>
        <v>29867070.789999999</v>
      </c>
      <c r="H8" s="7">
        <f t="shared" ref="H8:H12" si="1">C8-G8</f>
        <v>-18955625.530000001</v>
      </c>
      <c r="I8" s="16">
        <f>IF(C8=0,"",H8/C8)</f>
        <v>-1.7372240870317119</v>
      </c>
      <c r="K8"/>
      <c r="L8" s="144"/>
      <c r="M8" s="144"/>
      <c r="N8" s="144"/>
      <c r="O8" s="144"/>
      <c r="P8" s="144"/>
      <c r="R8" s="134"/>
      <c r="S8" s="134"/>
      <c r="T8" s="134"/>
      <c r="U8" s="134"/>
      <c r="V8" s="134"/>
    </row>
    <row r="9" spans="1:22" s="5" customFormat="1" x14ac:dyDescent="0.2">
      <c r="A9" s="6" t="s">
        <v>9</v>
      </c>
      <c r="B9" s="7">
        <v>0</v>
      </c>
      <c r="C9" s="7">
        <v>0</v>
      </c>
      <c r="D9" s="7">
        <v>1302.69</v>
      </c>
      <c r="E9" s="7">
        <v>10727.92</v>
      </c>
      <c r="F9" s="7">
        <v>0</v>
      </c>
      <c r="G9" s="7">
        <f t="shared" si="0"/>
        <v>10727.92</v>
      </c>
      <c r="H9" s="7">
        <f t="shared" si="1"/>
        <v>-10727.92</v>
      </c>
      <c r="I9" s="16" t="str">
        <f t="shared" ref="I9:I12" si="2">IF(C9=0,"",H9/C9)</f>
        <v/>
      </c>
      <c r="K9"/>
      <c r="L9" s="144"/>
      <c r="M9" s="144"/>
      <c r="N9" s="144"/>
      <c r="O9" s="144"/>
      <c r="P9" s="144"/>
      <c r="R9" s="134"/>
      <c r="S9" s="134"/>
      <c r="T9" s="134"/>
      <c r="U9" s="134"/>
      <c r="V9" s="134"/>
    </row>
    <row r="10" spans="1:22" s="5" customFormat="1" x14ac:dyDescent="0.2">
      <c r="A10" s="6" t="s">
        <v>10</v>
      </c>
      <c r="B10" s="7">
        <v>15023396</v>
      </c>
      <c r="C10" s="7">
        <v>22630757</v>
      </c>
      <c r="D10" s="7">
        <v>1451731.93</v>
      </c>
      <c r="E10" s="7">
        <v>11649470.58</v>
      </c>
      <c r="F10" s="7">
        <v>0</v>
      </c>
      <c r="G10" s="7">
        <f t="shared" si="0"/>
        <v>11649470.58</v>
      </c>
      <c r="H10" s="7">
        <f t="shared" si="1"/>
        <v>10981286.42</v>
      </c>
      <c r="I10" s="16">
        <f t="shared" si="2"/>
        <v>0.48523725565167791</v>
      </c>
      <c r="K10"/>
      <c r="L10" s="144"/>
      <c r="M10" s="144"/>
      <c r="N10" s="144"/>
      <c r="O10" s="144"/>
      <c r="P10" s="144"/>
      <c r="R10" s="134"/>
      <c r="S10" s="134"/>
      <c r="T10" s="134"/>
      <c r="U10" s="134"/>
      <c r="V10" s="134"/>
    </row>
    <row r="11" spans="1:22" s="5" customFormat="1" x14ac:dyDescent="0.2">
      <c r="A11" s="6" t="s">
        <v>74</v>
      </c>
      <c r="B11" s="7">
        <v>432832557.76999998</v>
      </c>
      <c r="C11" s="7">
        <v>652658926.58999991</v>
      </c>
      <c r="D11" s="7">
        <v>4038188.5999999996</v>
      </c>
      <c r="E11" s="7">
        <v>130588390.88</v>
      </c>
      <c r="F11" s="7">
        <v>0</v>
      </c>
      <c r="G11" s="7">
        <f t="shared" si="0"/>
        <v>130588390.88</v>
      </c>
      <c r="H11" s="7">
        <f t="shared" si="1"/>
        <v>522070535.70999992</v>
      </c>
      <c r="I11" s="16">
        <f t="shared" si="2"/>
        <v>0.79991326930546136</v>
      </c>
      <c r="K11"/>
      <c r="L11" s="144"/>
      <c r="M11" s="144"/>
      <c r="N11" s="144"/>
      <c r="O11" s="144"/>
      <c r="P11" s="144"/>
      <c r="R11" s="134"/>
      <c r="S11" s="134"/>
      <c r="T11" s="134"/>
      <c r="U11" s="134"/>
      <c r="V11" s="134"/>
    </row>
    <row r="12" spans="1:22" s="5" customFormat="1" x14ac:dyDescent="0.2">
      <c r="A12" s="8" t="s">
        <v>11</v>
      </c>
      <c r="B12" s="7">
        <v>4998766</v>
      </c>
      <c r="C12" s="7">
        <v>5498766</v>
      </c>
      <c r="D12" s="7">
        <v>109787.7</v>
      </c>
      <c r="E12" s="7">
        <v>1871749.03</v>
      </c>
      <c r="F12" s="7">
        <v>0</v>
      </c>
      <c r="G12" s="7">
        <f t="shared" si="0"/>
        <v>1871749.03</v>
      </c>
      <c r="H12" s="7">
        <f t="shared" si="1"/>
        <v>3627016.9699999997</v>
      </c>
      <c r="I12" s="16">
        <f t="shared" si="2"/>
        <v>0.65960562242510401</v>
      </c>
      <c r="K12" s="144"/>
      <c r="L12" s="144"/>
      <c r="M12" s="144"/>
      <c r="N12" s="144"/>
      <c r="O12" s="144"/>
      <c r="P12" s="144"/>
      <c r="R12" s="134"/>
      <c r="S12" s="134"/>
      <c r="T12" s="134"/>
      <c r="U12" s="134"/>
      <c r="V12" s="134"/>
    </row>
    <row r="13" spans="1:22" s="5" customFormat="1" ht="24.95" customHeight="1" x14ac:dyDescent="0.25">
      <c r="A13" s="10" t="s">
        <v>12</v>
      </c>
      <c r="B13" s="11">
        <f>SUM(B8:B12)</f>
        <v>463685644</v>
      </c>
      <c r="C13" s="11">
        <f t="shared" ref="C13:H13" si="3">SUM(C8:C12)</f>
        <v>691699894.8499999</v>
      </c>
      <c r="D13" s="11">
        <f t="shared" si="3"/>
        <v>8869093.2399999984</v>
      </c>
      <c r="E13" s="11">
        <f t="shared" si="3"/>
        <v>173987409.19999999</v>
      </c>
      <c r="F13" s="11">
        <f t="shared" si="3"/>
        <v>0</v>
      </c>
      <c r="G13" s="11">
        <f t="shared" si="3"/>
        <v>173987409.19999999</v>
      </c>
      <c r="H13" s="11">
        <f t="shared" si="3"/>
        <v>517712485.64999992</v>
      </c>
      <c r="I13" s="35">
        <f>IF(C13=0,"",H13/C13)</f>
        <v>0.74846402248227839</v>
      </c>
      <c r="L13" s="1"/>
      <c r="M13" s="1"/>
      <c r="N13" s="1"/>
      <c r="O13" s="1"/>
      <c r="P13" s="1"/>
      <c r="Q13" s="1"/>
      <c r="R13" s="1"/>
      <c r="S13" s="1"/>
    </row>
    <row r="14" spans="1:22" s="5" customFormat="1" x14ac:dyDescent="0.2">
      <c r="A14" s="12" t="s">
        <v>13</v>
      </c>
      <c r="B14" s="147">
        <v>136180733.75000006</v>
      </c>
      <c r="C14" s="147">
        <v>251175396.17999947</v>
      </c>
      <c r="D14" s="147">
        <v>5425026.1299999943</v>
      </c>
      <c r="E14" s="147">
        <v>71212027.319999948</v>
      </c>
      <c r="F14" s="147">
        <v>9740788.6000000034</v>
      </c>
      <c r="G14" s="147">
        <f t="shared" ref="G14:G31" si="4">SUM(E14:F14)</f>
        <v>80952815.919999957</v>
      </c>
      <c r="H14" s="147">
        <f t="shared" ref="H14:H31" si="5">C14-G14</f>
        <v>170222580.25999951</v>
      </c>
      <c r="I14" s="26">
        <f t="shared" ref="I14:I31" si="6">IF(C14=0,"",H14/C14)</f>
        <v>0.67770403808983404</v>
      </c>
      <c r="L14" s="134"/>
      <c r="M14" s="134"/>
      <c r="N14" s="134"/>
      <c r="O14" s="134"/>
      <c r="P14" s="134"/>
      <c r="R14" s="134"/>
      <c r="S14" s="134"/>
      <c r="T14" s="134"/>
      <c r="U14" s="134"/>
      <c r="V14" s="134"/>
    </row>
    <row r="15" spans="1:22" s="5" customFormat="1" x14ac:dyDescent="0.2">
      <c r="A15" s="6" t="s">
        <v>14</v>
      </c>
      <c r="B15" s="148">
        <v>42472520.330000021</v>
      </c>
      <c r="C15" s="148">
        <v>49188967.090000026</v>
      </c>
      <c r="D15" s="148">
        <v>2975574.9299999969</v>
      </c>
      <c r="E15" s="148">
        <v>17889480.319999989</v>
      </c>
      <c r="F15" s="148">
        <v>1732458.3399999996</v>
      </c>
      <c r="G15" s="148">
        <f t="shared" si="4"/>
        <v>19621938.659999989</v>
      </c>
      <c r="H15" s="148">
        <f t="shared" si="5"/>
        <v>29567028.430000037</v>
      </c>
      <c r="I15" s="16">
        <f t="shared" si="6"/>
        <v>0.60109065465639611</v>
      </c>
      <c r="L15" s="134"/>
      <c r="M15" s="134"/>
      <c r="N15" s="134"/>
      <c r="O15" s="134"/>
      <c r="P15" s="134"/>
      <c r="R15" s="134"/>
      <c r="S15" s="134"/>
      <c r="T15" s="134"/>
      <c r="U15" s="134"/>
      <c r="V15" s="134"/>
    </row>
    <row r="16" spans="1:22" s="5" customFormat="1" x14ac:dyDescent="0.2">
      <c r="A16" s="6" t="s">
        <v>15</v>
      </c>
      <c r="B16" s="148">
        <v>28613766.38000001</v>
      </c>
      <c r="C16" s="148">
        <v>5279331.29</v>
      </c>
      <c r="D16" s="148">
        <v>198482.61</v>
      </c>
      <c r="E16" s="148">
        <v>1381304.1100000008</v>
      </c>
      <c r="F16" s="148">
        <v>22392.92</v>
      </c>
      <c r="G16" s="148">
        <f t="shared" si="4"/>
        <v>1403697.0300000007</v>
      </c>
      <c r="H16" s="148">
        <f t="shared" si="5"/>
        <v>3875634.2599999993</v>
      </c>
      <c r="I16" s="16">
        <f t="shared" si="6"/>
        <v>0.73411461548949308</v>
      </c>
      <c r="L16" s="134"/>
      <c r="M16" s="134"/>
      <c r="N16" s="134"/>
      <c r="O16" s="134"/>
      <c r="P16" s="134"/>
      <c r="R16" s="134"/>
      <c r="S16" s="134"/>
      <c r="T16" s="134"/>
      <c r="U16" s="134"/>
      <c r="V16" s="134"/>
    </row>
    <row r="17" spans="1:22" s="5" customFormat="1" x14ac:dyDescent="0.2">
      <c r="A17" s="6" t="s">
        <v>16</v>
      </c>
      <c r="B17" s="148">
        <v>51067026.170000039</v>
      </c>
      <c r="C17" s="148">
        <v>54822106.959999993</v>
      </c>
      <c r="D17" s="148">
        <v>2384583.169999999</v>
      </c>
      <c r="E17" s="148">
        <v>14799123.379999988</v>
      </c>
      <c r="F17" s="148">
        <v>678481.98</v>
      </c>
      <c r="G17" s="148">
        <f t="shared" si="4"/>
        <v>15477605.359999988</v>
      </c>
      <c r="H17" s="148">
        <f t="shared" si="5"/>
        <v>39344501.600000009</v>
      </c>
      <c r="I17" s="16">
        <f t="shared" si="6"/>
        <v>0.71767583884922637</v>
      </c>
      <c r="L17" s="134"/>
      <c r="M17" s="134"/>
      <c r="N17" s="134"/>
      <c r="O17" s="134"/>
      <c r="P17" s="134"/>
      <c r="R17" s="134"/>
      <c r="S17" s="134"/>
      <c r="T17" s="134"/>
      <c r="U17" s="134"/>
      <c r="V17" s="134"/>
    </row>
    <row r="18" spans="1:22" s="5" customFormat="1" x14ac:dyDescent="0.2">
      <c r="A18" s="6" t="s">
        <v>17</v>
      </c>
      <c r="B18" s="148">
        <v>2893575</v>
      </c>
      <c r="C18" s="148">
        <v>3125766</v>
      </c>
      <c r="D18" s="148">
        <v>0</v>
      </c>
      <c r="E18" s="148">
        <v>276251.53000000003</v>
      </c>
      <c r="F18" s="148">
        <v>865.82999999999993</v>
      </c>
      <c r="G18" s="148">
        <f t="shared" si="4"/>
        <v>277117.36000000004</v>
      </c>
      <c r="H18" s="148">
        <f t="shared" si="5"/>
        <v>2848648.64</v>
      </c>
      <c r="I18" s="16">
        <f t="shared" si="6"/>
        <v>0.91134417611555063</v>
      </c>
      <c r="L18" s="134"/>
      <c r="M18" s="134"/>
      <c r="N18" s="134"/>
      <c r="O18" s="134"/>
      <c r="P18" s="134"/>
      <c r="R18" s="134"/>
      <c r="S18" s="134"/>
      <c r="T18" s="134"/>
      <c r="U18" s="134"/>
      <c r="V18" s="134"/>
    </row>
    <row r="19" spans="1:22" s="5" customFormat="1" x14ac:dyDescent="0.2">
      <c r="A19" s="6" t="s">
        <v>71</v>
      </c>
      <c r="B19" s="148">
        <v>3520157.4299999997</v>
      </c>
      <c r="C19" s="148">
        <v>8793191.6500000004</v>
      </c>
      <c r="D19" s="148">
        <v>353471.82000000007</v>
      </c>
      <c r="E19" s="148">
        <v>3222184.6600000006</v>
      </c>
      <c r="F19" s="148">
        <v>107488.75</v>
      </c>
      <c r="G19" s="148">
        <f>SUM(E19:F19)</f>
        <v>3329673.4100000006</v>
      </c>
      <c r="H19" s="148">
        <f>C19-G19</f>
        <v>5463518.2400000002</v>
      </c>
      <c r="I19" s="16">
        <f>IF(C19=0,"",H19/C19)</f>
        <v>0.62133505756126672</v>
      </c>
      <c r="L19" s="134"/>
      <c r="M19" s="134"/>
      <c r="N19" s="134"/>
      <c r="O19" s="134"/>
      <c r="P19" s="134"/>
      <c r="R19" s="134"/>
      <c r="S19" s="134"/>
      <c r="T19" s="134"/>
      <c r="U19" s="134"/>
      <c r="V19" s="134"/>
    </row>
    <row r="20" spans="1:22" s="5" customFormat="1" x14ac:dyDescent="0.2">
      <c r="A20" s="6" t="s">
        <v>18</v>
      </c>
      <c r="B20" s="148">
        <v>52346285.68</v>
      </c>
      <c r="C20" s="148">
        <v>50664869.550000004</v>
      </c>
      <c r="D20" s="148">
        <v>140114.46</v>
      </c>
      <c r="E20" s="148">
        <v>5763929.7500000009</v>
      </c>
      <c r="F20" s="148">
        <v>4628.07</v>
      </c>
      <c r="G20" s="148">
        <f t="shared" si="4"/>
        <v>5768557.8200000012</v>
      </c>
      <c r="H20" s="148">
        <f t="shared" si="5"/>
        <v>44896311.730000004</v>
      </c>
      <c r="I20" s="16">
        <f t="shared" si="6"/>
        <v>0.88614284668576626</v>
      </c>
      <c r="L20" s="134"/>
      <c r="M20" s="134"/>
      <c r="N20" s="134"/>
      <c r="O20" s="134"/>
      <c r="P20" s="134"/>
      <c r="R20" s="134"/>
      <c r="S20" s="134"/>
      <c r="T20" s="134"/>
      <c r="U20" s="134"/>
      <c r="V20" s="134"/>
    </row>
    <row r="21" spans="1:22" s="5" customFormat="1" x14ac:dyDescent="0.2">
      <c r="A21" s="6" t="s">
        <v>19</v>
      </c>
      <c r="B21" s="148">
        <v>27958822.82</v>
      </c>
      <c r="C21" s="148">
        <v>6381529.0399999982</v>
      </c>
      <c r="D21" s="148">
        <v>43050.829999999994</v>
      </c>
      <c r="E21" s="148">
        <v>1901608.4800000002</v>
      </c>
      <c r="F21" s="148">
        <v>0</v>
      </c>
      <c r="G21" s="148">
        <f t="shared" si="4"/>
        <v>1901608.4800000002</v>
      </c>
      <c r="H21" s="148">
        <f t="shared" si="5"/>
        <v>4479920.5599999977</v>
      </c>
      <c r="I21" s="16">
        <f t="shared" si="6"/>
        <v>0.70201366034996515</v>
      </c>
      <c r="L21" s="134"/>
      <c r="M21" s="134"/>
      <c r="N21" s="134"/>
      <c r="O21" s="134"/>
      <c r="P21" s="134"/>
      <c r="R21" s="134"/>
      <c r="S21" s="134"/>
      <c r="T21" s="134"/>
      <c r="U21" s="134"/>
      <c r="V21" s="134"/>
    </row>
    <row r="22" spans="1:22" s="5" customFormat="1" x14ac:dyDescent="0.2">
      <c r="A22" s="6" t="s">
        <v>20</v>
      </c>
      <c r="B22" s="148">
        <v>26102645</v>
      </c>
      <c r="C22" s="148">
        <v>272506.05</v>
      </c>
      <c r="D22" s="148">
        <v>7866.6</v>
      </c>
      <c r="E22" s="148">
        <v>266845.99000000005</v>
      </c>
      <c r="F22" s="148">
        <v>0</v>
      </c>
      <c r="G22" s="148">
        <f t="shared" si="4"/>
        <v>266845.99000000005</v>
      </c>
      <c r="H22" s="148">
        <f t="shared" si="5"/>
        <v>5660.0599999999395</v>
      </c>
      <c r="I22" s="16">
        <f t="shared" si="6"/>
        <v>2.077040124430243E-2</v>
      </c>
      <c r="L22" s="134"/>
      <c r="M22" s="134"/>
      <c r="N22" s="134"/>
      <c r="O22" s="134"/>
      <c r="P22" s="134"/>
      <c r="R22" s="134"/>
      <c r="S22" s="134"/>
      <c r="T22" s="134"/>
      <c r="U22" s="134"/>
      <c r="V22" s="134"/>
    </row>
    <row r="23" spans="1:22" s="5" customFormat="1" x14ac:dyDescent="0.2">
      <c r="A23" s="6" t="s">
        <v>70</v>
      </c>
      <c r="B23" s="148">
        <v>75241413.419999987</v>
      </c>
      <c r="C23" s="148">
        <v>64465140.68</v>
      </c>
      <c r="D23" s="148">
        <v>55101.42</v>
      </c>
      <c r="E23" s="148">
        <v>3162676.1700000004</v>
      </c>
      <c r="F23" s="148">
        <v>1706333.5699999998</v>
      </c>
      <c r="G23" s="148">
        <f t="shared" si="4"/>
        <v>4869009.74</v>
      </c>
      <c r="H23" s="148">
        <f t="shared" si="5"/>
        <v>59596130.939999998</v>
      </c>
      <c r="I23" s="16">
        <f t="shared" si="6"/>
        <v>0.9244706567202049</v>
      </c>
      <c r="L23" s="134"/>
      <c r="M23" s="134"/>
      <c r="N23" s="134"/>
      <c r="O23" s="134"/>
      <c r="P23" s="134"/>
      <c r="R23" s="134"/>
      <c r="S23" s="134"/>
      <c r="T23" s="134"/>
      <c r="U23" s="134"/>
      <c r="V23" s="134"/>
    </row>
    <row r="24" spans="1:22" s="5" customFormat="1" x14ac:dyDescent="0.2">
      <c r="A24" s="6" t="s">
        <v>21</v>
      </c>
      <c r="B24" s="148">
        <v>27768642.510000002</v>
      </c>
      <c r="C24" s="148">
        <v>26159858.670000002</v>
      </c>
      <c r="D24" s="148">
        <v>375574.41</v>
      </c>
      <c r="E24" s="148">
        <v>3214999.4499999997</v>
      </c>
      <c r="F24" s="148">
        <v>3858368.9699999997</v>
      </c>
      <c r="G24" s="148">
        <f t="shared" si="4"/>
        <v>7073368.4199999999</v>
      </c>
      <c r="H24" s="148">
        <f t="shared" si="5"/>
        <v>19086490.25</v>
      </c>
      <c r="I24" s="16">
        <f t="shared" si="6"/>
        <v>0.72960983814061253</v>
      </c>
      <c r="L24" s="134"/>
      <c r="M24" s="134"/>
      <c r="N24" s="134"/>
      <c r="O24" s="134"/>
      <c r="P24" s="134"/>
      <c r="R24" s="134"/>
      <c r="S24" s="134"/>
      <c r="T24" s="134"/>
      <c r="U24" s="134"/>
      <c r="V24" s="134"/>
    </row>
    <row r="25" spans="1:22" s="5" customFormat="1" x14ac:dyDescent="0.2">
      <c r="A25" s="6" t="s">
        <v>22</v>
      </c>
      <c r="B25" s="148">
        <v>81059163.539999992</v>
      </c>
      <c r="C25" s="148">
        <v>5673210.580000001</v>
      </c>
      <c r="D25" s="148">
        <v>105585.30999999998</v>
      </c>
      <c r="E25" s="148">
        <v>921651.3600000001</v>
      </c>
      <c r="F25" s="148">
        <v>10661.270000000002</v>
      </c>
      <c r="G25" s="148">
        <f t="shared" si="4"/>
        <v>932312.63000000012</v>
      </c>
      <c r="H25" s="148">
        <f t="shared" si="5"/>
        <v>4740897.9500000011</v>
      </c>
      <c r="I25" s="16">
        <f t="shared" si="6"/>
        <v>0.83566401830971704</v>
      </c>
      <c r="L25" s="134"/>
      <c r="M25" s="134"/>
      <c r="N25" s="134"/>
      <c r="O25" s="134"/>
      <c r="P25" s="134"/>
      <c r="R25" s="134"/>
      <c r="S25" s="134"/>
      <c r="T25" s="134"/>
      <c r="U25" s="134"/>
      <c r="V25" s="134"/>
    </row>
    <row r="26" spans="1:22" s="5" customFormat="1" x14ac:dyDescent="0.2">
      <c r="A26" s="6" t="s">
        <v>23</v>
      </c>
      <c r="B26" s="148">
        <v>26500</v>
      </c>
      <c r="C26" s="148">
        <v>408943.14</v>
      </c>
      <c r="D26" s="148">
        <v>38524.79</v>
      </c>
      <c r="E26" s="148">
        <v>237691.53</v>
      </c>
      <c r="F26" s="148">
        <v>2905</v>
      </c>
      <c r="G26" s="148">
        <f t="shared" si="4"/>
        <v>240596.53</v>
      </c>
      <c r="H26" s="148">
        <f t="shared" si="5"/>
        <v>168346.61000000002</v>
      </c>
      <c r="I26" s="16">
        <f t="shared" si="6"/>
        <v>0.41166263358764255</v>
      </c>
      <c r="L26" s="134"/>
      <c r="M26" s="134"/>
      <c r="N26" s="134"/>
      <c r="O26" s="134"/>
      <c r="P26" s="134"/>
      <c r="R26" s="134"/>
      <c r="S26" s="134"/>
      <c r="T26" s="134"/>
      <c r="U26" s="134"/>
      <c r="V26" s="134"/>
    </row>
    <row r="27" spans="1:22" s="5" customFormat="1" x14ac:dyDescent="0.2">
      <c r="A27" s="6" t="s">
        <v>29</v>
      </c>
      <c r="B27" s="148">
        <v>53747141</v>
      </c>
      <c r="C27" s="148">
        <v>21742362.609999999</v>
      </c>
      <c r="D27" s="148">
        <v>0</v>
      </c>
      <c r="E27" s="148">
        <v>1303530.4000000001</v>
      </c>
      <c r="F27" s="148">
        <v>0</v>
      </c>
      <c r="G27" s="148">
        <f t="shared" si="4"/>
        <v>1303530.4000000001</v>
      </c>
      <c r="H27" s="148">
        <f t="shared" si="5"/>
        <v>20438832.210000001</v>
      </c>
      <c r="I27" s="16">
        <f t="shared" si="6"/>
        <v>0.94004651548767459</v>
      </c>
      <c r="L27" s="134"/>
      <c r="M27" s="134"/>
      <c r="N27" s="134"/>
      <c r="O27" s="134"/>
      <c r="P27" s="134"/>
      <c r="R27" s="134"/>
      <c r="S27" s="134"/>
      <c r="T27" s="134"/>
      <c r="U27" s="134"/>
      <c r="V27" s="134"/>
    </row>
    <row r="28" spans="1:22" s="5" customFormat="1" x14ac:dyDescent="0.2">
      <c r="A28" s="6" t="s">
        <v>30</v>
      </c>
      <c r="B28" s="148">
        <v>1897082.28</v>
      </c>
      <c r="C28" s="148">
        <v>2467082.2800000003</v>
      </c>
      <c r="D28" s="148">
        <v>192376.54</v>
      </c>
      <c r="E28" s="148">
        <v>4933372.37</v>
      </c>
      <c r="F28" s="148">
        <v>219224.06999999998</v>
      </c>
      <c r="G28" s="148">
        <f t="shared" si="4"/>
        <v>5152596.4400000004</v>
      </c>
      <c r="H28" s="148">
        <f t="shared" si="5"/>
        <v>-2685514.16</v>
      </c>
      <c r="I28" s="16">
        <f t="shared" si="6"/>
        <v>-1.0885385468376028</v>
      </c>
      <c r="L28" s="134"/>
      <c r="M28" s="134"/>
      <c r="N28" s="134"/>
      <c r="O28" s="134"/>
      <c r="P28" s="134"/>
      <c r="R28" s="134"/>
      <c r="S28" s="134"/>
      <c r="T28" s="134"/>
      <c r="U28" s="134"/>
      <c r="V28" s="134"/>
    </row>
    <row r="29" spans="1:22" s="5" customFormat="1" x14ac:dyDescent="0.2">
      <c r="A29" s="6" t="s">
        <v>72</v>
      </c>
      <c r="B29" s="149">
        <v>0</v>
      </c>
      <c r="C29" s="149">
        <v>0</v>
      </c>
      <c r="D29" s="149">
        <v>0</v>
      </c>
      <c r="E29" s="149">
        <v>0</v>
      </c>
      <c r="F29" s="149">
        <v>0</v>
      </c>
      <c r="G29" s="149">
        <f t="shared" ref="G29" si="7">SUM(E29:F29)</f>
        <v>0</v>
      </c>
      <c r="H29" s="149">
        <f t="shared" ref="H29" si="8">C29-G29</f>
        <v>0</v>
      </c>
      <c r="I29" s="16" t="str">
        <f t="shared" ref="I29" si="9">IF(C29=0,"",H29/C29)</f>
        <v/>
      </c>
      <c r="R29" s="134"/>
      <c r="S29" s="134"/>
      <c r="T29" s="134"/>
      <c r="U29" s="134"/>
      <c r="V29" s="134"/>
    </row>
    <row r="30" spans="1:22" s="5" customFormat="1" x14ac:dyDescent="0.2">
      <c r="A30" s="6" t="s">
        <v>73</v>
      </c>
      <c r="B30" s="148">
        <v>158786775.40000001</v>
      </c>
      <c r="C30" s="148">
        <v>141684430.24000004</v>
      </c>
      <c r="D30" s="148">
        <v>285968.89</v>
      </c>
      <c r="E30" s="148">
        <v>10531982.810000008</v>
      </c>
      <c r="F30" s="148">
        <v>5639826.120000001</v>
      </c>
      <c r="G30" s="148">
        <f t="shared" ref="G30" si="10">SUM(E30:F30)</f>
        <v>16171808.930000009</v>
      </c>
      <c r="H30" s="148">
        <f t="shared" ref="H30" si="11">C30-G30</f>
        <v>125512621.31000003</v>
      </c>
      <c r="I30" s="16">
        <f t="shared" ref="I30" si="12">IF(C30=0,"",H30/C30)</f>
        <v>0.88586036657234324</v>
      </c>
      <c r="L30" s="134"/>
      <c r="M30" s="134"/>
      <c r="N30" s="134"/>
      <c r="O30" s="134"/>
      <c r="P30" s="134"/>
      <c r="R30" s="134"/>
      <c r="S30" s="134"/>
      <c r="T30" s="134"/>
      <c r="U30" s="134"/>
      <c r="V30" s="134"/>
    </row>
    <row r="31" spans="1:22" s="5" customFormat="1" x14ac:dyDescent="0.2">
      <c r="A31" s="6" t="s">
        <v>25</v>
      </c>
      <c r="B31" s="150">
        <v>891245</v>
      </c>
      <c r="C31" s="150">
        <v>891245</v>
      </c>
      <c r="D31" s="150">
        <v>1693403.1099999999</v>
      </c>
      <c r="E31" s="150">
        <v>13836645.470000001</v>
      </c>
      <c r="F31" s="150">
        <v>0</v>
      </c>
      <c r="G31" s="150">
        <f t="shared" si="4"/>
        <v>13836645.470000001</v>
      </c>
      <c r="H31" s="150">
        <f t="shared" si="5"/>
        <v>-12945400.470000001</v>
      </c>
      <c r="I31" s="16">
        <f t="shared" si="6"/>
        <v>-14.525075001823293</v>
      </c>
      <c r="L31" s="134"/>
      <c r="M31" s="134"/>
      <c r="N31" s="134"/>
      <c r="O31" s="134"/>
      <c r="P31" s="134"/>
      <c r="R31" s="134"/>
      <c r="S31" s="134"/>
      <c r="T31" s="134"/>
      <c r="U31" s="134"/>
      <c r="V31" s="134"/>
    </row>
    <row r="32" spans="1:22" s="5" customFormat="1" ht="24.95" customHeight="1" x14ac:dyDescent="0.25">
      <c r="A32" s="10" t="s">
        <v>26</v>
      </c>
      <c r="B32" s="11">
        <f t="shared" ref="B32:H32" si="13">SUM(B14:B31)</f>
        <v>770573495.71000004</v>
      </c>
      <c r="C32" s="11">
        <f t="shared" si="13"/>
        <v>693195937.00999951</v>
      </c>
      <c r="D32" s="11">
        <f t="shared" si="13"/>
        <v>14274705.019999988</v>
      </c>
      <c r="E32" s="11">
        <f t="shared" si="13"/>
        <v>154855305.09999996</v>
      </c>
      <c r="F32" s="11">
        <f t="shared" si="13"/>
        <v>23724423.490000006</v>
      </c>
      <c r="G32" s="11">
        <f t="shared" si="13"/>
        <v>178579728.58999994</v>
      </c>
      <c r="H32" s="11">
        <f t="shared" si="13"/>
        <v>514616208.41999948</v>
      </c>
      <c r="I32" s="35">
        <f>IF(C32=0,"",H32/C32)</f>
        <v>0.74238203218518872</v>
      </c>
      <c r="L32" s="1"/>
      <c r="M32" s="1"/>
      <c r="N32" s="1"/>
      <c r="O32" s="1"/>
      <c r="P32" s="1"/>
      <c r="Q32" s="1"/>
      <c r="R32" s="1"/>
      <c r="S32" s="1"/>
    </row>
    <row r="33" spans="1:16" s="5" customFormat="1" x14ac:dyDescent="0.2">
      <c r="A33" s="12"/>
      <c r="B33" s="13"/>
      <c r="C33" s="13"/>
      <c r="D33" s="13"/>
      <c r="E33" s="13"/>
      <c r="F33" s="13"/>
      <c r="G33" s="13"/>
      <c r="H33" s="13"/>
      <c r="I33" s="15"/>
      <c r="L33" s="134"/>
      <c r="M33" s="134"/>
      <c r="N33" s="134"/>
      <c r="O33" s="134"/>
      <c r="P33" s="134"/>
    </row>
    <row r="34" spans="1:16" s="5" customFormat="1" x14ac:dyDescent="0.2">
      <c r="A34" s="6" t="s">
        <v>27</v>
      </c>
      <c r="B34" s="7">
        <f>B13-B32</f>
        <v>-306887851.71000004</v>
      </c>
      <c r="C34" s="7">
        <f>C13-C32</f>
        <v>-1496042.159999609</v>
      </c>
      <c r="D34" s="7">
        <f>D13-D32</f>
        <v>-5405611.77999999</v>
      </c>
      <c r="E34" s="7">
        <f>E13-E32</f>
        <v>19132104.100000024</v>
      </c>
      <c r="F34" s="7"/>
      <c r="G34" s="7">
        <f>G13-G32</f>
        <v>-4592319.3899999559</v>
      </c>
      <c r="H34" s="7">
        <f>H13-H32</f>
        <v>3096277.2300004363</v>
      </c>
      <c r="I34" s="16"/>
      <c r="L34" s="134"/>
      <c r="M34" s="134"/>
      <c r="N34" s="134"/>
      <c r="O34" s="134"/>
      <c r="P34" s="134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3"/>
      <c r="L35" s="134"/>
      <c r="M35" s="134"/>
      <c r="N35" s="134"/>
      <c r="O35" s="134"/>
      <c r="P35" s="134"/>
    </row>
    <row r="36" spans="1:16" s="5" customFormat="1" x14ac:dyDescent="0.2">
      <c r="A36" s="18" t="s">
        <v>67</v>
      </c>
      <c r="B36" s="20"/>
      <c r="C36" s="20"/>
      <c r="D36" s="20"/>
      <c r="E36" s="20">
        <v>0</v>
      </c>
      <c r="F36" s="20"/>
      <c r="G36" s="20">
        <f>E36</f>
        <v>0</v>
      </c>
      <c r="H36" s="20"/>
      <c r="I36" s="21"/>
      <c r="L36" s="134"/>
      <c r="M36" s="134"/>
      <c r="N36" s="134"/>
      <c r="O36" s="134"/>
      <c r="P36" s="134"/>
    </row>
    <row r="37" spans="1:16" s="5" customFormat="1" ht="15.75" thickBot="1" x14ac:dyDescent="0.25">
      <c r="A37" s="22" t="s">
        <v>28</v>
      </c>
      <c r="B37" s="24"/>
      <c r="C37" s="24"/>
      <c r="D37" s="24"/>
      <c r="E37" s="24">
        <f>SUM(E34:E36)</f>
        <v>19132104.100000024</v>
      </c>
      <c r="F37" s="24"/>
      <c r="G37" s="24">
        <f>SUM(G34:G36)</f>
        <v>-4592319.3899999559</v>
      </c>
      <c r="H37" s="24"/>
      <c r="I37" s="25"/>
      <c r="L37" s="134"/>
      <c r="M37" s="134"/>
      <c r="N37" s="134"/>
      <c r="O37" s="134"/>
      <c r="P37" s="134"/>
    </row>
    <row r="38" spans="1:16" s="5" customFormat="1" x14ac:dyDescent="0.2">
      <c r="B38" s="32"/>
      <c r="C38" s="32"/>
      <c r="D38" s="32"/>
      <c r="E38" s="32"/>
      <c r="F38" s="32"/>
      <c r="G38" s="32"/>
      <c r="H38" s="32"/>
      <c r="L38" s="134"/>
      <c r="M38" s="134"/>
      <c r="N38" s="134"/>
      <c r="O38" s="134"/>
      <c r="P38" s="134"/>
    </row>
    <row r="39" spans="1:16" x14ac:dyDescent="0.25">
      <c r="I39" s="29"/>
      <c r="J39" s="133"/>
      <c r="K39" s="133"/>
      <c r="O39" s="1"/>
      <c r="P39" s="1"/>
    </row>
    <row r="40" spans="1:16" x14ac:dyDescent="0.25">
      <c r="B40" s="133"/>
      <c r="C40" s="133"/>
      <c r="D40" s="133"/>
      <c r="E40" s="133"/>
      <c r="F40" s="133"/>
      <c r="G40" s="133"/>
      <c r="H40" s="133"/>
      <c r="L40" s="1"/>
      <c r="M40" s="1"/>
      <c r="N40" s="1"/>
      <c r="O40" s="1"/>
      <c r="P40" s="1"/>
    </row>
    <row r="41" spans="1:16" x14ac:dyDescent="0.25">
      <c r="B41" s="133"/>
      <c r="C41" s="133"/>
      <c r="D41" s="133"/>
      <c r="E41" s="133"/>
      <c r="F41" s="133"/>
      <c r="G41" s="133"/>
      <c r="H41" s="133"/>
      <c r="L41" s="1"/>
      <c r="M41" s="1"/>
      <c r="N41" s="1"/>
      <c r="O41" s="1"/>
      <c r="P41" s="1"/>
    </row>
    <row r="42" spans="1:16" x14ac:dyDescent="0.25">
      <c r="B42" s="133"/>
      <c r="C42" s="133"/>
      <c r="D42" s="133"/>
      <c r="E42" s="133"/>
      <c r="F42" s="133"/>
      <c r="G42" s="133"/>
      <c r="H42" s="133"/>
      <c r="L42" s="1"/>
      <c r="M42" s="1"/>
      <c r="N42" s="1"/>
      <c r="O42" s="1"/>
      <c r="P42" s="1"/>
    </row>
    <row r="43" spans="1:16" x14ac:dyDescent="0.25">
      <c r="B43" s="133"/>
      <c r="C43" s="133"/>
      <c r="D43" s="133"/>
      <c r="E43" s="1"/>
      <c r="F43" s="1"/>
      <c r="G43" s="1"/>
      <c r="H43" s="1"/>
      <c r="L43" s="1"/>
      <c r="M43" s="1"/>
      <c r="N43" s="1"/>
      <c r="O43" s="1"/>
      <c r="P43" s="1"/>
    </row>
    <row r="44" spans="1:16" x14ac:dyDescent="0.25">
      <c r="B44" s="133"/>
      <c r="C44" s="133"/>
      <c r="D44" s="133"/>
      <c r="E44" s="1"/>
      <c r="F44" s="1"/>
      <c r="G44" s="1"/>
      <c r="H44" s="1"/>
      <c r="L44" s="1"/>
      <c r="M44" s="1"/>
      <c r="N44" s="1"/>
      <c r="O44" s="1"/>
      <c r="P44" s="1"/>
    </row>
    <row r="45" spans="1:16" x14ac:dyDescent="0.25">
      <c r="B45" s="133"/>
      <c r="C45" s="133"/>
      <c r="D45" s="133"/>
      <c r="E45" s="1"/>
      <c r="F45" s="1"/>
      <c r="G45" s="1"/>
      <c r="H45" s="1"/>
      <c r="L45" s="1"/>
      <c r="M45" s="1"/>
      <c r="N45" s="1"/>
      <c r="O45" s="1"/>
      <c r="P45" s="1"/>
    </row>
    <row r="46" spans="1:16" x14ac:dyDescent="0.25">
      <c r="B46" s="133"/>
      <c r="C46" s="133"/>
      <c r="D46" s="133"/>
      <c r="E46" s="133"/>
      <c r="F46" s="133"/>
      <c r="G46" s="133"/>
      <c r="H46" s="133"/>
      <c r="I46" s="133"/>
      <c r="L46" s="1"/>
      <c r="M46" s="1"/>
      <c r="N46" s="1"/>
      <c r="O46" s="1"/>
      <c r="P46" s="1"/>
    </row>
    <row r="47" spans="1:16" x14ac:dyDescent="0.25">
      <c r="B47" s="133"/>
      <c r="C47" s="133"/>
      <c r="D47" s="133"/>
      <c r="E47" s="133"/>
      <c r="F47" s="133"/>
      <c r="G47" s="133"/>
      <c r="H47" s="133"/>
      <c r="I47" s="133"/>
      <c r="L47" s="1"/>
      <c r="M47" s="1"/>
      <c r="N47" s="1"/>
      <c r="O47" s="1"/>
      <c r="P47" s="1"/>
    </row>
    <row r="48" spans="1:16" x14ac:dyDescent="0.25">
      <c r="B48" s="133"/>
      <c r="C48" s="133"/>
      <c r="D48" s="133"/>
      <c r="E48" s="133"/>
      <c r="F48" s="133"/>
      <c r="G48" s="133"/>
      <c r="H48" s="133"/>
      <c r="I48" s="133"/>
      <c r="L48" s="1"/>
      <c r="M48" s="1"/>
      <c r="N48" s="1"/>
      <c r="O48" s="1"/>
      <c r="P48" s="1"/>
    </row>
    <row r="49" spans="2:16" x14ac:dyDescent="0.25">
      <c r="B49" s="133"/>
      <c r="C49" s="133"/>
      <c r="D49" s="133"/>
      <c r="E49" s="133"/>
      <c r="F49" s="133"/>
      <c r="G49" s="133"/>
      <c r="H49" s="133"/>
      <c r="I49" s="133"/>
      <c r="L49" s="1"/>
      <c r="M49" s="1"/>
      <c r="N49" s="1"/>
      <c r="O49" s="1"/>
      <c r="P49" s="1"/>
    </row>
    <row r="50" spans="2:16" x14ac:dyDescent="0.25">
      <c r="B50" s="133"/>
      <c r="C50" s="133"/>
      <c r="D50" s="133"/>
      <c r="E50" s="133"/>
      <c r="F50" s="133"/>
      <c r="G50" s="1"/>
      <c r="H50" s="1"/>
      <c r="L50" s="1"/>
      <c r="M50" s="1"/>
      <c r="N50" s="1"/>
      <c r="O50" s="1"/>
      <c r="P50" s="1"/>
    </row>
    <row r="51" spans="2:16" x14ac:dyDescent="0.25">
      <c r="B51" s="133"/>
      <c r="C51" s="133"/>
      <c r="D51" s="133"/>
      <c r="E51" s="133"/>
      <c r="F51" s="133"/>
      <c r="G51" s="1"/>
      <c r="H51" s="1"/>
      <c r="L51" s="1"/>
      <c r="M51" s="1"/>
      <c r="N51" s="1"/>
      <c r="O51" s="1"/>
      <c r="P51" s="1"/>
    </row>
    <row r="52" spans="2:16" x14ac:dyDescent="0.25">
      <c r="B52" s="133"/>
      <c r="C52" s="133"/>
      <c r="D52" s="133"/>
      <c r="E52" s="133"/>
      <c r="F52" s="133"/>
      <c r="G52" s="1"/>
      <c r="H52" s="1"/>
      <c r="L52" s="1"/>
      <c r="M52" s="1"/>
      <c r="N52" s="1"/>
      <c r="O52" s="1"/>
      <c r="P52" s="1"/>
    </row>
    <row r="53" spans="2:16" x14ac:dyDescent="0.25">
      <c r="B53" s="133"/>
      <c r="C53" s="133"/>
      <c r="D53" s="133"/>
      <c r="E53" s="133"/>
      <c r="F53" s="133"/>
      <c r="G53" s="1"/>
      <c r="H53" s="1"/>
      <c r="L53" s="1"/>
      <c r="M53" s="1"/>
      <c r="N53" s="1"/>
      <c r="O53" s="1"/>
      <c r="P53" s="1"/>
    </row>
    <row r="54" spans="2:16" x14ac:dyDescent="0.25">
      <c r="B54" s="133"/>
      <c r="C54" s="133"/>
      <c r="D54" s="133"/>
      <c r="E54" s="133"/>
      <c r="F54" s="133"/>
      <c r="G54" s="133"/>
      <c r="H54" s="133"/>
      <c r="L54" s="1"/>
      <c r="M54" s="1"/>
      <c r="N54" s="1"/>
      <c r="O54" s="1"/>
      <c r="P54" s="1"/>
    </row>
    <row r="55" spans="2:16" x14ac:dyDescent="0.25">
      <c r="B55" s="133"/>
      <c r="C55" s="133"/>
      <c r="D55" s="133"/>
      <c r="E55" s="133"/>
      <c r="F55" s="133"/>
      <c r="G55" s="133"/>
      <c r="H55" s="133"/>
      <c r="L55" s="1"/>
      <c r="M55" s="1"/>
      <c r="N55" s="1"/>
      <c r="O55" s="1"/>
      <c r="P55" s="1"/>
    </row>
    <row r="56" spans="2:16" x14ac:dyDescent="0.25">
      <c r="B56" s="133"/>
      <c r="C56" s="133"/>
      <c r="D56" s="133"/>
      <c r="E56" s="133"/>
      <c r="F56" s="133"/>
      <c r="G56" s="133"/>
      <c r="H56" s="133"/>
      <c r="L56" s="1"/>
      <c r="M56" s="1"/>
      <c r="N56" s="1"/>
      <c r="O56" s="1"/>
      <c r="P56" s="1"/>
    </row>
    <row r="57" spans="2:16" x14ac:dyDescent="0.25">
      <c r="B57" s="133"/>
      <c r="C57" s="133"/>
      <c r="D57" s="133"/>
      <c r="E57" s="133"/>
      <c r="F57" s="133"/>
      <c r="G57" s="133"/>
      <c r="H57" s="133"/>
      <c r="I57" s="133"/>
      <c r="J57" s="133"/>
      <c r="L57" s="1"/>
      <c r="M57" s="1"/>
      <c r="N57" s="1"/>
      <c r="O57" s="1"/>
      <c r="P57" s="1"/>
    </row>
    <row r="58" spans="2:16" x14ac:dyDescent="0.25">
      <c r="B58" s="133"/>
      <c r="C58" s="133"/>
      <c r="D58" s="133"/>
      <c r="E58" s="133"/>
      <c r="F58" s="133"/>
      <c r="G58" s="133"/>
      <c r="H58" s="133"/>
      <c r="I58" s="133"/>
      <c r="J58" s="133"/>
      <c r="L58" s="1"/>
      <c r="M58" s="1"/>
      <c r="N58" s="1"/>
      <c r="O58" s="1"/>
      <c r="P58" s="1"/>
    </row>
    <row r="59" spans="2:16" x14ac:dyDescent="0.25">
      <c r="B59" s="133"/>
      <c r="C59" s="133"/>
      <c r="D59" s="133"/>
      <c r="E59" s="133"/>
      <c r="F59" s="133"/>
      <c r="G59" s="133"/>
      <c r="H59" s="133"/>
      <c r="I59" s="133"/>
      <c r="J59" s="133"/>
      <c r="L59" s="1"/>
      <c r="M59" s="1"/>
      <c r="N59" s="1"/>
      <c r="O59" s="1"/>
      <c r="P59" s="1"/>
    </row>
    <row r="60" spans="2:16" x14ac:dyDescent="0.25">
      <c r="B60" s="133"/>
      <c r="C60" s="133"/>
      <c r="D60" s="133"/>
      <c r="E60" s="133"/>
      <c r="F60" s="133"/>
      <c r="G60" s="133"/>
      <c r="H60" s="133"/>
      <c r="I60" s="133"/>
      <c r="J60" s="133"/>
      <c r="L60" s="1"/>
      <c r="M60" s="1"/>
      <c r="N60" s="1"/>
      <c r="O60" s="1"/>
      <c r="P60" s="1"/>
    </row>
    <row r="61" spans="2:16" x14ac:dyDescent="0.25">
      <c r="B61" s="133"/>
      <c r="C61" s="133"/>
      <c r="D61" s="133"/>
      <c r="E61" s="133"/>
      <c r="F61" s="133"/>
      <c r="G61" s="133"/>
      <c r="H61" s="133"/>
      <c r="I61" s="133"/>
      <c r="J61" s="133"/>
      <c r="L61" s="1"/>
      <c r="M61" s="1"/>
      <c r="N61" s="1"/>
      <c r="O61" s="1"/>
      <c r="P61" s="1"/>
    </row>
    <row r="62" spans="2:16" x14ac:dyDescent="0.25">
      <c r="B62" s="133"/>
      <c r="C62" s="133"/>
      <c r="D62" s="133"/>
      <c r="E62" s="133"/>
      <c r="F62" s="133"/>
      <c r="G62" s="133"/>
      <c r="H62" s="133"/>
      <c r="I62" s="133"/>
      <c r="J62" s="133"/>
      <c r="L62" s="1"/>
      <c r="M62" s="1"/>
      <c r="N62" s="1"/>
      <c r="O62" s="1"/>
      <c r="P62" s="1"/>
    </row>
    <row r="63" spans="2:16" x14ac:dyDescent="0.25">
      <c r="B63" s="133"/>
      <c r="C63" s="133"/>
      <c r="D63" s="133"/>
      <c r="E63" s="133"/>
      <c r="F63" s="133"/>
      <c r="G63" s="133"/>
      <c r="H63" s="133"/>
      <c r="I63" s="133"/>
      <c r="J63" s="133"/>
      <c r="L63" s="1"/>
      <c r="M63" s="1"/>
      <c r="N63" s="1"/>
      <c r="O63" s="1"/>
      <c r="P63" s="1"/>
    </row>
    <row r="64" spans="2:16" x14ac:dyDescent="0.25">
      <c r="B64" s="133"/>
      <c r="C64" s="133"/>
      <c r="D64" s="133"/>
      <c r="E64" s="133"/>
      <c r="F64" s="133"/>
      <c r="G64" s="133"/>
      <c r="H64" s="133"/>
      <c r="I64" s="133"/>
      <c r="J64" s="133"/>
      <c r="L64" s="1"/>
      <c r="M64" s="1"/>
      <c r="N64" s="1"/>
      <c r="O64" s="1"/>
      <c r="P64" s="1"/>
    </row>
    <row r="65" spans="2:16" x14ac:dyDescent="0.25">
      <c r="B65" s="133"/>
      <c r="C65" s="133"/>
      <c r="D65" s="133"/>
      <c r="E65" s="133"/>
      <c r="F65" s="133"/>
      <c r="G65" s="133"/>
      <c r="H65" s="133"/>
      <c r="I65" s="133"/>
      <c r="J65" s="133"/>
      <c r="L65" s="1"/>
      <c r="M65" s="1"/>
      <c r="N65" s="1"/>
      <c r="O65" s="1"/>
      <c r="P65" s="1"/>
    </row>
    <row r="66" spans="2:16" x14ac:dyDescent="0.25">
      <c r="B66" s="133"/>
      <c r="C66" s="133"/>
      <c r="D66" s="133"/>
      <c r="E66" s="133"/>
      <c r="F66" s="133"/>
      <c r="G66" s="133"/>
      <c r="H66" s="133"/>
      <c r="I66" s="133"/>
      <c r="J66" s="133"/>
      <c r="L66" s="1"/>
      <c r="M66" s="1"/>
      <c r="N66" s="1"/>
      <c r="O66" s="1"/>
      <c r="P66" s="1"/>
    </row>
    <row r="67" spans="2:16" x14ac:dyDescent="0.25">
      <c r="B67" s="133"/>
      <c r="C67" s="133"/>
      <c r="D67" s="133"/>
      <c r="E67" s="133"/>
      <c r="F67" s="133"/>
      <c r="G67" s="133"/>
      <c r="H67" s="133"/>
      <c r="I67" s="133"/>
      <c r="J67" s="133"/>
      <c r="L67" s="1"/>
      <c r="M67" s="1"/>
      <c r="N67" s="1"/>
      <c r="O67" s="1"/>
      <c r="P67" s="1"/>
    </row>
    <row r="68" spans="2:16" x14ac:dyDescent="0.25"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M68" s="1"/>
      <c r="N68" s="1"/>
      <c r="O68" s="1"/>
      <c r="P68" s="1"/>
    </row>
    <row r="69" spans="2:16" x14ac:dyDescent="0.25"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M69" s="1"/>
      <c r="N69" s="1"/>
      <c r="O69" s="1"/>
      <c r="P69" s="1"/>
    </row>
    <row r="70" spans="2:16" x14ac:dyDescent="0.25"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M70" s="1"/>
      <c r="N70" s="1"/>
      <c r="O70" s="1"/>
      <c r="P70" s="1"/>
    </row>
    <row r="71" spans="2:16" x14ac:dyDescent="0.25"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M71" s="1"/>
      <c r="N71" s="1"/>
      <c r="O71" s="1"/>
      <c r="P71" s="1"/>
    </row>
    <row r="72" spans="2:16" x14ac:dyDescent="0.25"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M72" s="1"/>
      <c r="N72" s="1"/>
      <c r="O72" s="1"/>
      <c r="P72" s="1"/>
    </row>
    <row r="73" spans="2:16" x14ac:dyDescent="0.25"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M73" s="1"/>
      <c r="N73" s="1"/>
      <c r="O73" s="1"/>
      <c r="P73" s="1"/>
    </row>
    <row r="74" spans="2:16" x14ac:dyDescent="0.25"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M74" s="1"/>
      <c r="N74" s="1"/>
      <c r="O74" s="1"/>
      <c r="P74" s="1"/>
    </row>
    <row r="75" spans="2:16" x14ac:dyDescent="0.25">
      <c r="B75" s="133"/>
      <c r="C75" s="133"/>
      <c r="D75" s="133"/>
      <c r="E75" s="133"/>
      <c r="F75" s="133"/>
      <c r="G75" s="133"/>
      <c r="H75" s="133"/>
      <c r="I75" s="29"/>
      <c r="J75" s="133"/>
      <c r="K75" s="133"/>
      <c r="O75" s="1"/>
      <c r="P75" s="1"/>
    </row>
    <row r="76" spans="2:16" x14ac:dyDescent="0.25">
      <c r="B76" s="133"/>
      <c r="C76" s="133"/>
      <c r="D76" s="133"/>
      <c r="E76" s="133"/>
      <c r="F76" s="133"/>
      <c r="G76" s="133"/>
      <c r="H76" s="133"/>
      <c r="I76" s="29"/>
      <c r="J76" s="133"/>
      <c r="K76" s="133"/>
      <c r="O76" s="1"/>
      <c r="P76" s="1"/>
    </row>
    <row r="77" spans="2:16" x14ac:dyDescent="0.25">
      <c r="B77" s="133"/>
      <c r="C77" s="133"/>
      <c r="D77" s="133"/>
      <c r="E77" s="133"/>
      <c r="F77" s="133"/>
      <c r="G77" s="133"/>
      <c r="H77" s="133"/>
      <c r="I77" s="29"/>
      <c r="J77" s="133"/>
      <c r="K77" s="133"/>
      <c r="O77" s="1"/>
      <c r="P77" s="1"/>
    </row>
    <row r="78" spans="2:16" x14ac:dyDescent="0.25">
      <c r="B78" s="133"/>
      <c r="C78" s="133"/>
      <c r="D78" s="133"/>
      <c r="E78" s="133"/>
      <c r="F78" s="133"/>
      <c r="G78" s="133"/>
      <c r="H78" s="133"/>
      <c r="I78" s="29"/>
      <c r="J78" s="133"/>
      <c r="K78" s="133"/>
      <c r="O78" s="1"/>
      <c r="P78" s="1"/>
    </row>
    <row r="79" spans="2:16" x14ac:dyDescent="0.25">
      <c r="B79" s="133"/>
      <c r="I79" s="29"/>
      <c r="J79" s="133"/>
      <c r="K79" s="133"/>
      <c r="O79" s="1"/>
      <c r="P79" s="1"/>
    </row>
    <row r="80" spans="2:16" x14ac:dyDescent="0.25">
      <c r="B80" s="133"/>
      <c r="I80" s="29"/>
      <c r="J80" s="133"/>
      <c r="K80" s="133"/>
      <c r="O80" s="1"/>
      <c r="P80" s="1"/>
    </row>
    <row r="81" spans="2:16" x14ac:dyDescent="0.25">
      <c r="B81" s="133"/>
      <c r="G81" s="1"/>
      <c r="H81" s="1"/>
      <c r="J81" s="133"/>
      <c r="K81" s="133"/>
      <c r="O81" s="1"/>
      <c r="P81" s="1"/>
    </row>
    <row r="82" spans="2:16" x14ac:dyDescent="0.25">
      <c r="B82" s="133"/>
      <c r="G82" s="1"/>
      <c r="H82" s="1"/>
      <c r="J82" s="133"/>
      <c r="K82" s="133"/>
      <c r="O82" s="1"/>
      <c r="P82" s="1"/>
    </row>
    <row r="83" spans="2:16" x14ac:dyDescent="0.25">
      <c r="B83" s="133"/>
      <c r="G83" s="1"/>
      <c r="H83" s="1"/>
      <c r="J83" s="133"/>
      <c r="K83" s="133"/>
      <c r="O83" s="1"/>
      <c r="P83" s="1"/>
    </row>
    <row r="84" spans="2:16" x14ac:dyDescent="0.25">
      <c r="B84" s="133"/>
      <c r="G84" s="1"/>
      <c r="H84" s="1"/>
      <c r="J84" s="133"/>
      <c r="K84" s="133"/>
      <c r="O84" s="1"/>
      <c r="P84" s="1"/>
    </row>
    <row r="85" spans="2:16" x14ac:dyDescent="0.25">
      <c r="B85" s="133"/>
      <c r="G85" s="1"/>
      <c r="H85" s="1"/>
      <c r="J85" s="133"/>
      <c r="K85" s="133"/>
      <c r="O85" s="1"/>
      <c r="P85" s="1"/>
    </row>
    <row r="86" spans="2:16" x14ac:dyDescent="0.25">
      <c r="B86" s="133"/>
      <c r="G86" s="1"/>
      <c r="H86" s="1"/>
      <c r="J86" s="133"/>
      <c r="K86" s="133"/>
      <c r="O86" s="1"/>
      <c r="P86" s="1"/>
    </row>
    <row r="87" spans="2:16" x14ac:dyDescent="0.25">
      <c r="B87" s="133"/>
      <c r="G87" s="1"/>
      <c r="H87" s="1"/>
      <c r="J87" s="133"/>
      <c r="K87" s="133"/>
      <c r="O87" s="1"/>
      <c r="P87" s="1"/>
    </row>
    <row r="88" spans="2:16" x14ac:dyDescent="0.25">
      <c r="B88" s="133"/>
      <c r="G88" s="1"/>
      <c r="H88" s="1"/>
      <c r="J88" s="133"/>
      <c r="K88" s="133"/>
      <c r="O88" s="1"/>
      <c r="P88" s="1"/>
    </row>
    <row r="89" spans="2:16" x14ac:dyDescent="0.25">
      <c r="B89" s="133"/>
      <c r="G89" s="1"/>
      <c r="H89" s="1"/>
      <c r="J89" s="133"/>
      <c r="K89" s="133"/>
      <c r="O89" s="1"/>
      <c r="P89" s="1"/>
    </row>
    <row r="90" spans="2:16" x14ac:dyDescent="0.25">
      <c r="B90" s="133"/>
      <c r="G90" s="1"/>
      <c r="H90" s="1"/>
      <c r="J90" s="133"/>
      <c r="K90" s="133"/>
      <c r="O90" s="1"/>
      <c r="P90" s="1"/>
    </row>
    <row r="91" spans="2:16" x14ac:dyDescent="0.25">
      <c r="B91" s="133"/>
      <c r="G91" s="1"/>
      <c r="H91" s="1"/>
      <c r="J91" s="133"/>
      <c r="K91" s="133"/>
      <c r="O91" s="1"/>
      <c r="P91" s="1"/>
    </row>
    <row r="92" spans="2:16" x14ac:dyDescent="0.25">
      <c r="G92" s="1"/>
      <c r="H92" s="1"/>
      <c r="J92" s="133"/>
      <c r="K92" s="133"/>
      <c r="O92" s="1"/>
      <c r="P92" s="1"/>
    </row>
    <row r="93" spans="2:16" x14ac:dyDescent="0.25">
      <c r="G93" s="1"/>
      <c r="H93" s="1"/>
      <c r="J93" s="133"/>
      <c r="K93" s="133"/>
      <c r="O93" s="1"/>
      <c r="P93" s="1"/>
    </row>
    <row r="94" spans="2:16" x14ac:dyDescent="0.25">
      <c r="G94" s="1"/>
      <c r="H94" s="1"/>
      <c r="J94" s="133"/>
      <c r="K94" s="133"/>
      <c r="O94" s="1"/>
      <c r="P94" s="1"/>
    </row>
    <row r="95" spans="2:16" x14ac:dyDescent="0.25">
      <c r="G95" s="1"/>
      <c r="H95" s="1"/>
      <c r="J95" s="133"/>
      <c r="K95" s="133"/>
      <c r="O95" s="1"/>
      <c r="P95" s="1"/>
    </row>
    <row r="96" spans="2:16" x14ac:dyDescent="0.25">
      <c r="G96" s="1"/>
      <c r="H96" s="1"/>
      <c r="J96" s="133"/>
      <c r="K96" s="133"/>
      <c r="O96" s="1"/>
      <c r="P96" s="1"/>
    </row>
    <row r="97" spans="7:16" x14ac:dyDescent="0.25">
      <c r="G97" s="1"/>
      <c r="H97" s="1"/>
      <c r="J97" s="133"/>
      <c r="K97" s="133"/>
      <c r="O97" s="1"/>
      <c r="P97" s="1"/>
    </row>
    <row r="98" spans="7:16" x14ac:dyDescent="0.25">
      <c r="G98" s="1"/>
      <c r="H98" s="1"/>
      <c r="J98" s="133"/>
      <c r="K98" s="133"/>
      <c r="O98" s="1"/>
      <c r="P98" s="1"/>
    </row>
    <row r="99" spans="7:16" x14ac:dyDescent="0.25">
      <c r="G99" s="1"/>
      <c r="H99" s="1"/>
      <c r="J99" s="133"/>
      <c r="K99" s="133"/>
      <c r="O99" s="1"/>
      <c r="P99" s="1"/>
    </row>
    <row r="100" spans="7:16" x14ac:dyDescent="0.25">
      <c r="G100" s="1"/>
      <c r="H100" s="1"/>
      <c r="J100" s="133"/>
      <c r="K100" s="133"/>
      <c r="O100" s="1"/>
      <c r="P100" s="1"/>
    </row>
    <row r="101" spans="7:16" x14ac:dyDescent="0.25">
      <c r="G101" s="1"/>
      <c r="H101" s="1"/>
      <c r="J101" s="133"/>
      <c r="K101" s="133"/>
      <c r="O101" s="1"/>
      <c r="P101" s="1"/>
    </row>
    <row r="102" spans="7:16" x14ac:dyDescent="0.25">
      <c r="G102" s="1"/>
      <c r="H102" s="1"/>
      <c r="J102" s="133"/>
      <c r="K102" s="133"/>
      <c r="O102" s="1"/>
      <c r="P102" s="1"/>
    </row>
    <row r="103" spans="7:16" x14ac:dyDescent="0.25">
      <c r="G103" s="1"/>
      <c r="H103" s="1"/>
      <c r="J103" s="133"/>
      <c r="K103" s="133"/>
      <c r="O103" s="1"/>
      <c r="P103" s="1"/>
    </row>
    <row r="104" spans="7:16" x14ac:dyDescent="0.25">
      <c r="G104" s="1"/>
      <c r="H104" s="1"/>
      <c r="J104" s="133"/>
      <c r="K104" s="133"/>
      <c r="O104" s="1"/>
      <c r="P104" s="1"/>
    </row>
    <row r="105" spans="7:16" x14ac:dyDescent="0.25">
      <c r="G105" s="1"/>
      <c r="H105" s="1"/>
      <c r="J105" s="133"/>
      <c r="K105" s="133"/>
      <c r="O105" s="1"/>
      <c r="P105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7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29" bestFit="1" customWidth="1"/>
    <col min="4" max="5" width="13.28515625" style="29" bestFit="1" customWidth="1"/>
    <col min="6" max="6" width="17.7109375" style="29" customWidth="1"/>
    <col min="7" max="7" width="13.5703125" style="29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</row>
    <row r="2" spans="1:9" ht="18.75" x14ac:dyDescent="0.3">
      <c r="A2" s="155" t="s">
        <v>79</v>
      </c>
      <c r="B2" s="155"/>
      <c r="C2" s="155"/>
      <c r="D2" s="155"/>
      <c r="E2" s="155"/>
      <c r="F2" s="155"/>
      <c r="G2" s="155"/>
      <c r="H2" s="155"/>
      <c r="I2" s="155"/>
    </row>
    <row r="3" spans="1:9" x14ac:dyDescent="0.25">
      <c r="A3" s="154" t="s">
        <v>1</v>
      </c>
      <c r="B3" s="154"/>
      <c r="C3" s="154"/>
      <c r="D3" s="154"/>
      <c r="E3" s="154"/>
      <c r="F3" s="154"/>
      <c r="G3" s="154"/>
      <c r="H3" s="154"/>
      <c r="I3" s="154"/>
    </row>
    <row r="4" spans="1:9" x14ac:dyDescent="0.25">
      <c r="A4" s="156">
        <v>45351</v>
      </c>
      <c r="B4" s="156"/>
      <c r="C4" s="156"/>
      <c r="D4" s="156"/>
      <c r="E4" s="156"/>
      <c r="F4" s="156"/>
      <c r="G4" s="156"/>
      <c r="H4" s="156"/>
      <c r="I4" s="156"/>
    </row>
    <row r="5" spans="1:9" x14ac:dyDescent="0.25">
      <c r="A5" s="154" t="s">
        <v>2</v>
      </c>
      <c r="B5" s="154"/>
      <c r="C5" s="154"/>
      <c r="D5" s="154"/>
      <c r="E5" s="154"/>
      <c r="F5" s="154"/>
      <c r="G5" s="154"/>
      <c r="H5" s="154"/>
      <c r="I5" s="154"/>
    </row>
    <row r="6" spans="1:9" ht="15.75" thickBot="1" x14ac:dyDescent="0.3">
      <c r="A6" s="154"/>
      <c r="B6" s="154"/>
      <c r="C6" s="154"/>
      <c r="D6" s="154"/>
      <c r="E6" s="154"/>
      <c r="F6" s="154"/>
      <c r="G6" s="154"/>
      <c r="H6" s="154"/>
      <c r="I6" s="154"/>
    </row>
    <row r="7" spans="1:9" s="5" customFormat="1" ht="45.75" thickBot="1" x14ac:dyDescent="0.25">
      <c r="A7" s="2" t="s">
        <v>32</v>
      </c>
      <c r="B7" s="31" t="s">
        <v>34</v>
      </c>
      <c r="C7" s="31" t="s">
        <v>33</v>
      </c>
      <c r="D7" s="31" t="s">
        <v>3</v>
      </c>
      <c r="E7" s="31" t="s">
        <v>4</v>
      </c>
      <c r="F7" s="31" t="s">
        <v>5</v>
      </c>
      <c r="G7" s="31" t="s">
        <v>6</v>
      </c>
      <c r="H7" s="3" t="s">
        <v>7</v>
      </c>
      <c r="I7" s="4" t="s">
        <v>31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4" t="str">
        <f t="shared" ref="I8:I11" si="2">IF(C8=0,"NA",H8/C8)</f>
        <v>NA</v>
      </c>
    </row>
    <row r="9" spans="1:9" s="5" customFormat="1" x14ac:dyDescent="0.2">
      <c r="A9" s="6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0</v>
      </c>
      <c r="I9" s="34" t="str">
        <f t="shared" si="2"/>
        <v>NA</v>
      </c>
    </row>
    <row r="10" spans="1:9" s="5" customFormat="1" ht="24.95" customHeight="1" x14ac:dyDescent="0.2">
      <c r="A10" s="10" t="s">
        <v>12</v>
      </c>
      <c r="B10" s="11">
        <f t="shared" ref="B10:H10" si="3">SUM(B8:B9)</f>
        <v>0</v>
      </c>
      <c r="C10" s="11">
        <f t="shared" si="3"/>
        <v>0</v>
      </c>
      <c r="D10" s="11">
        <f t="shared" si="3"/>
        <v>0</v>
      </c>
      <c r="E10" s="11">
        <f t="shared" si="3"/>
        <v>0</v>
      </c>
      <c r="F10" s="11">
        <f t="shared" si="3"/>
        <v>0</v>
      </c>
      <c r="G10" s="11">
        <f t="shared" si="3"/>
        <v>0</v>
      </c>
      <c r="H10" s="11">
        <f t="shared" si="3"/>
        <v>0</v>
      </c>
      <c r="I10" s="35" t="str">
        <f t="shared" si="2"/>
        <v>NA</v>
      </c>
    </row>
    <row r="11" spans="1:9" s="5" customFormat="1" x14ac:dyDescent="0.2">
      <c r="A11" s="27" t="s">
        <v>25</v>
      </c>
      <c r="B11" s="13">
        <v>0</v>
      </c>
      <c r="C11" s="13">
        <v>0</v>
      </c>
      <c r="D11" s="13">
        <v>0</v>
      </c>
      <c r="E11" s="13">
        <v>47604.51</v>
      </c>
      <c r="F11" s="13">
        <v>0</v>
      </c>
      <c r="G11" s="13">
        <f t="shared" si="0"/>
        <v>47604.51</v>
      </c>
      <c r="H11" s="13">
        <f t="shared" si="1"/>
        <v>-47604.51</v>
      </c>
      <c r="I11" s="36" t="str">
        <f t="shared" si="2"/>
        <v>NA</v>
      </c>
    </row>
    <row r="12" spans="1:9" s="5" customFormat="1" x14ac:dyDescent="0.2">
      <c r="A12" s="28" t="s">
        <v>24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 t="shared" ref="G12" si="4">SUM(E12:F12)</f>
        <v>0</v>
      </c>
      <c r="H12" s="9">
        <f t="shared" ref="H12" si="5">C12-G12</f>
        <v>0</v>
      </c>
      <c r="I12" s="37" t="str">
        <f t="shared" ref="I12" si="6">IF(C12=0,"NA",H12/C12)</f>
        <v>NA</v>
      </c>
    </row>
    <row r="13" spans="1:9" s="5" customFormat="1" ht="24.95" customHeight="1" x14ac:dyDescent="0.2">
      <c r="A13" s="10" t="s">
        <v>26</v>
      </c>
      <c r="B13" s="11">
        <f>SUM(B11:B12)</f>
        <v>0</v>
      </c>
      <c r="C13" s="11">
        <f t="shared" ref="C13:H13" si="7">SUM(C11:C12)</f>
        <v>0</v>
      </c>
      <c r="D13" s="11">
        <f t="shared" si="7"/>
        <v>0</v>
      </c>
      <c r="E13" s="11">
        <f t="shared" si="7"/>
        <v>47604.51</v>
      </c>
      <c r="F13" s="11">
        <f t="shared" si="7"/>
        <v>0</v>
      </c>
      <c r="G13" s="11">
        <f t="shared" si="7"/>
        <v>47604.51</v>
      </c>
      <c r="H13" s="11">
        <f t="shared" si="7"/>
        <v>-47604.51</v>
      </c>
      <c r="I13" s="35" t="str">
        <f t="shared" ref="I13" si="8">IF(C13=0,"NA",H13/C13)</f>
        <v>NA</v>
      </c>
    </row>
    <row r="14" spans="1:9" s="5" customFormat="1" x14ac:dyDescent="0.2">
      <c r="A14" s="12"/>
      <c r="B14" s="13"/>
      <c r="C14" s="13"/>
      <c r="D14" s="13"/>
      <c r="E14" s="13"/>
      <c r="F14" s="13"/>
      <c r="G14" s="13"/>
      <c r="H14" s="14"/>
      <c r="I14" s="15"/>
    </row>
    <row r="15" spans="1:9" s="5" customFormat="1" x14ac:dyDescent="0.2">
      <c r="A15" s="6" t="s">
        <v>27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-47604.51</v>
      </c>
      <c r="F15" s="7"/>
      <c r="G15" s="7">
        <f>G10-G13</f>
        <v>-47604.51</v>
      </c>
      <c r="H15" s="7">
        <f>H10-H13</f>
        <v>47604.51</v>
      </c>
      <c r="I15" s="16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7"/>
    </row>
    <row r="17" spans="1:10" s="5" customFormat="1" ht="24.95" customHeight="1" x14ac:dyDescent="0.2">
      <c r="A17" s="18" t="s">
        <v>67</v>
      </c>
      <c r="B17" s="20"/>
      <c r="C17" s="20"/>
      <c r="D17" s="20"/>
      <c r="E17" s="20">
        <v>47604.51</v>
      </c>
      <c r="F17" s="20"/>
      <c r="G17" s="20">
        <f>E17</f>
        <v>47604.51</v>
      </c>
      <c r="H17" s="19"/>
      <c r="I17" s="21"/>
    </row>
    <row r="18" spans="1:10" s="5" customFormat="1" ht="24.95" customHeight="1" thickBot="1" x14ac:dyDescent="0.25">
      <c r="A18" s="22" t="s">
        <v>28</v>
      </c>
      <c r="B18" s="24"/>
      <c r="C18" s="24"/>
      <c r="D18" s="24"/>
      <c r="E18" s="24">
        <f>SUM(E15:E17)</f>
        <v>0</v>
      </c>
      <c r="F18" s="24"/>
      <c r="G18" s="24">
        <f>SUM(G15:G17)</f>
        <v>0</v>
      </c>
      <c r="H18" s="23"/>
      <c r="I18" s="25"/>
    </row>
    <row r="19" spans="1:10" s="5" customFormat="1" x14ac:dyDescent="0.2">
      <c r="B19" s="32"/>
      <c r="C19" s="32"/>
      <c r="D19" s="32"/>
      <c r="E19" s="32"/>
      <c r="F19" s="32"/>
      <c r="G19" s="32"/>
    </row>
    <row r="20" spans="1:10" s="5" customFormat="1" x14ac:dyDescent="0.2">
      <c r="A20" s="30"/>
      <c r="B20" s="32"/>
      <c r="C20" s="32"/>
      <c r="D20" s="32"/>
      <c r="E20" s="32"/>
      <c r="F20" s="32"/>
      <c r="G20" s="32"/>
    </row>
    <row r="21" spans="1:10" s="5" customFormat="1" x14ac:dyDescent="0.2">
      <c r="B21" s="32"/>
      <c r="C21" s="32"/>
      <c r="D21" s="32"/>
      <c r="E21" s="32"/>
      <c r="F21" s="32"/>
      <c r="G21" s="32"/>
      <c r="H21" s="32"/>
      <c r="I21" s="32"/>
    </row>
    <row r="22" spans="1:10" x14ac:dyDescent="0.25">
      <c r="H22" s="29"/>
      <c r="I22" s="29"/>
    </row>
    <row r="24" spans="1:10" x14ac:dyDescent="0.25">
      <c r="H24" s="29"/>
      <c r="I24" s="29"/>
      <c r="J24" s="29"/>
    </row>
    <row r="26" spans="1:10" x14ac:dyDescent="0.25">
      <c r="H26" s="29"/>
      <c r="I26" s="29"/>
    </row>
    <row r="27" spans="1:10" x14ac:dyDescent="0.25">
      <c r="H27" s="29"/>
      <c r="I27" s="29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48"/>
  <sheetViews>
    <sheetView workbookViewId="0">
      <selection sqref="A1:I1"/>
    </sheetView>
  </sheetViews>
  <sheetFormatPr defaultRowHeight="15" x14ac:dyDescent="0.25"/>
  <cols>
    <col min="1" max="1" width="52.28515625" style="1" bestFit="1" customWidth="1"/>
    <col min="2" max="3" width="15.28515625" style="29" bestFit="1" customWidth="1"/>
    <col min="4" max="4" width="13.5703125" style="29" bestFit="1" customWidth="1"/>
    <col min="5" max="5" width="14.7109375" style="29" bestFit="1" customWidth="1"/>
    <col min="6" max="6" width="17.5703125" style="29" customWidth="1"/>
    <col min="7" max="7" width="14.7109375" style="29" bestFit="1" customWidth="1"/>
    <col min="8" max="8" width="14.5703125" style="29" bestFit="1" customWidth="1"/>
    <col min="9" max="9" width="14.85546875" style="1" customWidth="1"/>
    <col min="10" max="10" width="3.5703125" style="47" customWidth="1"/>
    <col min="11" max="11" width="25.7109375" style="1" bestFit="1" customWidth="1"/>
    <col min="12" max="13" width="14.5703125" style="133" bestFit="1" customWidth="1"/>
    <col min="14" max="14" width="12.85546875" style="133" bestFit="1" customWidth="1"/>
    <col min="15" max="16" width="13.5703125" style="133" bestFit="1" customWidth="1"/>
    <col min="17" max="17" width="3.7109375" style="1" customWidth="1"/>
    <col min="18" max="18" width="9.7109375" style="1" bestFit="1" customWidth="1"/>
    <col min="19" max="19" width="9.140625" style="1"/>
    <col min="20" max="20" width="10.5703125" style="1" bestFit="1" customWidth="1"/>
    <col min="21" max="21" width="13.28515625" style="1" bestFit="1" customWidth="1"/>
    <col min="22" max="16384" width="9.140625" style="1"/>
  </cols>
  <sheetData>
    <row r="1" spans="1:22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39"/>
    </row>
    <row r="2" spans="1:22" ht="18.75" x14ac:dyDescent="0.3">
      <c r="A2" s="155" t="s">
        <v>78</v>
      </c>
      <c r="B2" s="155"/>
      <c r="C2" s="155"/>
      <c r="D2" s="155"/>
      <c r="E2" s="155"/>
      <c r="F2" s="155"/>
      <c r="G2" s="155"/>
      <c r="H2" s="155"/>
      <c r="I2" s="155"/>
      <c r="J2" s="40"/>
    </row>
    <row r="3" spans="1:22" x14ac:dyDescent="0.25">
      <c r="A3" s="154" t="s">
        <v>1</v>
      </c>
      <c r="B3" s="154"/>
      <c r="C3" s="154"/>
      <c r="D3" s="154"/>
      <c r="E3" s="154"/>
      <c r="F3" s="154"/>
      <c r="G3" s="154"/>
      <c r="H3" s="154"/>
      <c r="I3" s="154"/>
      <c r="J3" s="39"/>
    </row>
    <row r="4" spans="1:22" x14ac:dyDescent="0.25">
      <c r="A4" s="156">
        <v>45351</v>
      </c>
      <c r="B4" s="156"/>
      <c r="C4" s="156"/>
      <c r="D4" s="156"/>
      <c r="E4" s="156"/>
      <c r="F4" s="156"/>
      <c r="G4" s="156"/>
      <c r="H4" s="156"/>
      <c r="I4" s="156"/>
      <c r="J4" s="41"/>
    </row>
    <row r="5" spans="1:22" x14ac:dyDescent="0.25">
      <c r="A5" s="154" t="s">
        <v>2</v>
      </c>
      <c r="B5" s="154"/>
      <c r="C5" s="154"/>
      <c r="D5" s="154"/>
      <c r="E5" s="154"/>
      <c r="F5" s="154"/>
      <c r="G5" s="154"/>
      <c r="H5" s="154"/>
      <c r="I5" s="154"/>
      <c r="J5" s="39"/>
    </row>
    <row r="6" spans="1:22" ht="15.75" thickBot="1" x14ac:dyDescent="0.3">
      <c r="A6" s="154"/>
      <c r="B6" s="154"/>
      <c r="C6" s="154"/>
      <c r="D6" s="154"/>
      <c r="E6" s="154"/>
      <c r="F6" s="154"/>
      <c r="G6" s="154"/>
      <c r="H6" s="154"/>
      <c r="I6" s="154"/>
      <c r="J6" s="39"/>
    </row>
    <row r="7" spans="1:22" s="5" customFormat="1" ht="45.75" thickBot="1" x14ac:dyDescent="0.25">
      <c r="A7" s="2" t="s">
        <v>32</v>
      </c>
      <c r="B7" s="31" t="s">
        <v>34</v>
      </c>
      <c r="C7" s="31" t="s">
        <v>33</v>
      </c>
      <c r="D7" s="31" t="s">
        <v>3</v>
      </c>
      <c r="E7" s="31" t="s">
        <v>4</v>
      </c>
      <c r="F7" s="31" t="s">
        <v>5</v>
      </c>
      <c r="G7" s="31" t="s">
        <v>6</v>
      </c>
      <c r="H7" s="31" t="s">
        <v>7</v>
      </c>
      <c r="I7" s="4" t="s">
        <v>31</v>
      </c>
      <c r="J7" s="42"/>
      <c r="L7" s="134"/>
      <c r="M7" s="134"/>
      <c r="N7" s="134"/>
      <c r="O7" s="134"/>
      <c r="P7" s="134"/>
    </row>
    <row r="8" spans="1:22" s="5" customFormat="1" x14ac:dyDescent="0.2">
      <c r="A8" s="6" t="s">
        <v>8</v>
      </c>
      <c r="B8" s="7">
        <v>429011000</v>
      </c>
      <c r="C8" s="7">
        <v>429086573.36000001</v>
      </c>
      <c r="D8" s="7">
        <v>11953973.26</v>
      </c>
      <c r="E8" s="7">
        <v>88288022.020000011</v>
      </c>
      <c r="F8" s="7">
        <v>0</v>
      </c>
      <c r="G8" s="7">
        <f t="shared" ref="G8:G22" si="0">SUM(E8:F8)</f>
        <v>88288022.020000011</v>
      </c>
      <c r="H8" s="7">
        <f t="shared" ref="H8:H11" si="1">C8-G8</f>
        <v>340798551.34000003</v>
      </c>
      <c r="I8" s="34">
        <f>IF(C8=0,"NA",H8/C8)</f>
        <v>0.79424193740518867</v>
      </c>
      <c r="J8" s="43"/>
      <c r="K8"/>
      <c r="L8" s="135"/>
      <c r="M8" s="135"/>
      <c r="N8" s="135"/>
      <c r="O8" s="135"/>
      <c r="P8" s="135"/>
      <c r="R8" s="134"/>
      <c r="S8" s="134"/>
      <c r="T8" s="134"/>
      <c r="U8" s="134"/>
      <c r="V8" s="134"/>
    </row>
    <row r="9" spans="1:22" s="5" customFormat="1" x14ac:dyDescent="0.2">
      <c r="A9" s="6" t="s">
        <v>9</v>
      </c>
      <c r="B9" s="7">
        <v>2800000</v>
      </c>
      <c r="C9" s="7">
        <v>2800000</v>
      </c>
      <c r="D9" s="7">
        <v>2455383.62</v>
      </c>
      <c r="E9" s="7">
        <v>18795464.200000003</v>
      </c>
      <c r="F9" s="7">
        <v>0</v>
      </c>
      <c r="G9" s="7">
        <f t="shared" si="0"/>
        <v>18795464.200000003</v>
      </c>
      <c r="H9" s="7">
        <f t="shared" si="1"/>
        <v>-15995464.200000003</v>
      </c>
      <c r="I9" s="34">
        <f t="shared" ref="I9:I23" si="2">IF(C9=0,"NA",H9/C9)</f>
        <v>-5.7126657857142868</v>
      </c>
      <c r="J9" s="43"/>
      <c r="K9"/>
      <c r="L9" s="135"/>
      <c r="M9" s="135"/>
      <c r="N9" s="135"/>
      <c r="O9" s="135"/>
      <c r="P9" s="135"/>
      <c r="R9" s="134"/>
      <c r="S9" s="134"/>
      <c r="T9" s="134"/>
      <c r="U9" s="134"/>
      <c r="V9" s="134"/>
    </row>
    <row r="10" spans="1:22" s="5" customFormat="1" x14ac:dyDescent="0.2">
      <c r="A10" s="6" t="s">
        <v>10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f t="shared" si="0"/>
        <v>0</v>
      </c>
      <c r="H10" s="7">
        <f t="shared" si="1"/>
        <v>0</v>
      </c>
      <c r="I10" s="34" t="str">
        <f t="shared" si="2"/>
        <v>NA</v>
      </c>
      <c r="J10" s="43"/>
      <c r="K10"/>
      <c r="L10" s="135"/>
      <c r="M10" s="135"/>
      <c r="N10" s="135"/>
      <c r="O10" s="135"/>
      <c r="P10" s="135"/>
      <c r="R10" s="134"/>
      <c r="S10" s="134"/>
      <c r="T10" s="134"/>
      <c r="U10" s="134"/>
      <c r="V10" s="134"/>
    </row>
    <row r="11" spans="1:22" s="5" customFormat="1" x14ac:dyDescent="0.2">
      <c r="A11" s="6" t="s">
        <v>11</v>
      </c>
      <c r="B11" s="7">
        <v>0</v>
      </c>
      <c r="C11" s="7">
        <v>0</v>
      </c>
      <c r="D11" s="7">
        <v>0</v>
      </c>
      <c r="E11" s="7">
        <v>47604.51</v>
      </c>
      <c r="F11" s="7">
        <v>0</v>
      </c>
      <c r="G11" s="7">
        <f t="shared" si="0"/>
        <v>47604.51</v>
      </c>
      <c r="H11" s="7">
        <f t="shared" si="1"/>
        <v>-47604.51</v>
      </c>
      <c r="I11" s="34" t="str">
        <f t="shared" si="2"/>
        <v>NA</v>
      </c>
      <c r="J11" s="43"/>
      <c r="K11"/>
      <c r="L11" s="135"/>
      <c r="M11" s="135"/>
      <c r="N11" s="135"/>
      <c r="O11" s="135"/>
      <c r="P11" s="135"/>
      <c r="R11" s="134"/>
      <c r="S11" s="134"/>
      <c r="T11" s="134"/>
      <c r="U11" s="134"/>
      <c r="V11" s="134"/>
    </row>
    <row r="12" spans="1:22" s="5" customFormat="1" ht="24.95" customHeight="1" x14ac:dyDescent="0.25">
      <c r="A12" s="10" t="s">
        <v>12</v>
      </c>
      <c r="B12" s="11">
        <f>SUM(B8:B11)</f>
        <v>431811000</v>
      </c>
      <c r="C12" s="11">
        <f t="shared" ref="C12:F12" si="3">SUM(C8:C11)</f>
        <v>431886573.36000001</v>
      </c>
      <c r="D12" s="11">
        <f t="shared" si="3"/>
        <v>14409356.879999999</v>
      </c>
      <c r="E12" s="11">
        <f t="shared" si="3"/>
        <v>107131090.73000002</v>
      </c>
      <c r="F12" s="11">
        <f t="shared" si="3"/>
        <v>0</v>
      </c>
      <c r="G12" s="11">
        <f t="shared" ref="G12:H12" si="4">SUM(G8:G11)</f>
        <v>107131090.73000002</v>
      </c>
      <c r="H12" s="11">
        <f t="shared" si="4"/>
        <v>324755482.63000005</v>
      </c>
      <c r="I12" s="35">
        <f t="shared" si="2"/>
        <v>0.7519462346408704</v>
      </c>
      <c r="L12" s="1"/>
      <c r="M12" s="1"/>
      <c r="N12" s="1"/>
      <c r="O12" s="1"/>
      <c r="P12" s="1"/>
      <c r="Q12" s="1"/>
      <c r="R12" s="134"/>
      <c r="S12" s="134"/>
      <c r="T12" s="134"/>
      <c r="U12" s="134"/>
      <c r="V12" s="134"/>
    </row>
    <row r="13" spans="1:22" s="5" customFormat="1" x14ac:dyDescent="0.2">
      <c r="A13" s="12" t="s">
        <v>13</v>
      </c>
      <c r="B13" s="13">
        <v>5500</v>
      </c>
      <c r="C13" s="13">
        <v>5500</v>
      </c>
      <c r="D13" s="13">
        <v>107904.44</v>
      </c>
      <c r="E13" s="13">
        <v>901580.14</v>
      </c>
      <c r="F13" s="13">
        <v>400360.59</v>
      </c>
      <c r="G13" s="7">
        <f t="shared" si="0"/>
        <v>1301940.73</v>
      </c>
      <c r="H13" s="7">
        <f t="shared" ref="H13:H22" si="5">C13-G13</f>
        <v>-1296440.73</v>
      </c>
      <c r="I13" s="38">
        <f t="shared" si="2"/>
        <v>-235.71649636363637</v>
      </c>
      <c r="J13" s="43"/>
      <c r="R13" s="134"/>
      <c r="S13" s="134"/>
      <c r="T13" s="134"/>
      <c r="U13" s="134"/>
      <c r="V13" s="134"/>
    </row>
    <row r="14" spans="1:22" s="5" customFormat="1" x14ac:dyDescent="0.25">
      <c r="A14" s="6" t="s">
        <v>14</v>
      </c>
      <c r="B14" s="7">
        <v>5500</v>
      </c>
      <c r="C14" s="7">
        <v>81073.36</v>
      </c>
      <c r="D14" s="7">
        <v>0</v>
      </c>
      <c r="E14" s="7">
        <v>58386.6</v>
      </c>
      <c r="F14" s="7">
        <v>32.9</v>
      </c>
      <c r="G14" s="7">
        <f t="shared" si="0"/>
        <v>58419.5</v>
      </c>
      <c r="H14" s="7">
        <f t="shared" si="5"/>
        <v>22653.86</v>
      </c>
      <c r="I14" s="38">
        <f t="shared" ref="I14" si="6">IF(C14=0,"NA",H14/C14)</f>
        <v>0.27942421530327594</v>
      </c>
      <c r="J14" s="43"/>
      <c r="K14" s="1"/>
      <c r="L14" s="1"/>
      <c r="M14" s="1"/>
      <c r="R14" s="134"/>
      <c r="S14" s="134"/>
      <c r="T14" s="134"/>
      <c r="U14" s="134"/>
      <c r="V14" s="134"/>
    </row>
    <row r="15" spans="1:22" s="5" customFormat="1" x14ac:dyDescent="0.25">
      <c r="A15" s="6" t="s">
        <v>15</v>
      </c>
      <c r="B15" s="7">
        <v>0</v>
      </c>
      <c r="C15" s="7">
        <v>17000000</v>
      </c>
      <c r="D15" s="7">
        <v>194602.76</v>
      </c>
      <c r="E15" s="7">
        <v>898235.58</v>
      </c>
      <c r="F15" s="7">
        <v>10583529.85</v>
      </c>
      <c r="G15" s="7">
        <f t="shared" ref="G15" si="7">SUM(E15:F15)</f>
        <v>11481765.43</v>
      </c>
      <c r="H15" s="7">
        <f t="shared" ref="H15" si="8">C15-G15</f>
        <v>5518234.5700000003</v>
      </c>
      <c r="I15" s="38">
        <f t="shared" ref="I15" si="9">IF(C15=0,"NA",H15/C15)</f>
        <v>0.3246020335294118</v>
      </c>
      <c r="J15" s="43"/>
      <c r="K15" s="1"/>
      <c r="L15" s="1"/>
      <c r="M15" s="1"/>
      <c r="N15" s="1"/>
      <c r="R15" s="134"/>
      <c r="S15" s="134"/>
      <c r="T15" s="134"/>
      <c r="U15" s="134"/>
      <c r="V15" s="134"/>
    </row>
    <row r="16" spans="1:22" s="5" customFormat="1" x14ac:dyDescent="0.25">
      <c r="A16" s="6" t="s">
        <v>70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f t="shared" si="0"/>
        <v>0</v>
      </c>
      <c r="H16" s="7">
        <f t="shared" si="5"/>
        <v>0</v>
      </c>
      <c r="I16" s="38" t="str">
        <f t="shared" ref="I16" si="10">IF(C16=0,"NA",H16/C16)</f>
        <v>NA</v>
      </c>
      <c r="J16" s="43"/>
      <c r="K16" s="133"/>
      <c r="L16" s="133"/>
      <c r="M16" s="133"/>
      <c r="N16" s="133"/>
      <c r="O16" s="133"/>
      <c r="P16" s="133"/>
      <c r="Q16" s="1"/>
      <c r="R16" s="134"/>
      <c r="S16" s="134"/>
      <c r="T16" s="134"/>
      <c r="U16" s="134"/>
      <c r="V16" s="134"/>
    </row>
    <row r="17" spans="1:22" s="5" customFormat="1" x14ac:dyDescent="0.25">
      <c r="A17" s="6" t="s">
        <v>21</v>
      </c>
      <c r="B17" s="7">
        <v>10050882.43</v>
      </c>
      <c r="C17" s="7">
        <v>10998913.92</v>
      </c>
      <c r="D17" s="7">
        <v>40311.01</v>
      </c>
      <c r="E17" s="7">
        <v>612333.35</v>
      </c>
      <c r="F17" s="7">
        <v>32075.469999999998</v>
      </c>
      <c r="G17" s="7">
        <f t="shared" si="0"/>
        <v>644408.81999999995</v>
      </c>
      <c r="H17" s="7">
        <f t="shared" si="5"/>
        <v>10354505.1</v>
      </c>
      <c r="I17" s="38">
        <f>IF(C17=0,"NA",H17/C17)</f>
        <v>0.94141159530049301</v>
      </c>
      <c r="J17" s="43"/>
      <c r="K17" s="133"/>
      <c r="L17" s="133"/>
      <c r="M17" s="133"/>
      <c r="N17" s="133"/>
      <c r="O17" s="133"/>
      <c r="P17" s="133"/>
      <c r="Q17" s="133"/>
      <c r="R17" s="134"/>
      <c r="S17" s="134"/>
      <c r="T17" s="134"/>
      <c r="U17" s="134"/>
      <c r="V17" s="134"/>
    </row>
    <row r="18" spans="1:22" s="5" customFormat="1" x14ac:dyDescent="0.25">
      <c r="A18" s="6" t="s">
        <v>22</v>
      </c>
      <c r="B18" s="7">
        <v>1008000</v>
      </c>
      <c r="C18" s="7">
        <v>731685</v>
      </c>
      <c r="D18" s="7">
        <v>0</v>
      </c>
      <c r="E18" s="7">
        <v>0</v>
      </c>
      <c r="F18" s="7">
        <v>0</v>
      </c>
      <c r="G18" s="7">
        <f t="shared" si="0"/>
        <v>0</v>
      </c>
      <c r="H18" s="7">
        <f t="shared" si="5"/>
        <v>731685</v>
      </c>
      <c r="I18" s="38">
        <f>IF(C18=0,"NA",H18/C18)</f>
        <v>1</v>
      </c>
      <c r="J18" s="43"/>
      <c r="K18" s="133"/>
      <c r="L18" s="133"/>
      <c r="M18" s="133"/>
      <c r="N18" s="133"/>
      <c r="O18" s="133"/>
      <c r="P18" s="133"/>
      <c r="Q18" s="133"/>
      <c r="R18" s="134"/>
      <c r="S18" s="134"/>
      <c r="T18" s="134"/>
      <c r="U18" s="134"/>
      <c r="V18" s="134"/>
    </row>
    <row r="19" spans="1:22" s="5" customFormat="1" x14ac:dyDescent="0.25">
      <c r="A19" s="6" t="s">
        <v>30</v>
      </c>
      <c r="B19" s="7">
        <v>18000000</v>
      </c>
      <c r="C19" s="7">
        <v>18000000</v>
      </c>
      <c r="D19" s="7">
        <v>268219.53000000003</v>
      </c>
      <c r="E19" s="7">
        <v>2060781.24</v>
      </c>
      <c r="F19" s="7">
        <v>11100134.16</v>
      </c>
      <c r="G19" s="7">
        <f t="shared" ref="G19" si="11">SUM(E19:F19)</f>
        <v>13160915.4</v>
      </c>
      <c r="H19" s="7">
        <f t="shared" ref="H19" si="12">C19-G19</f>
        <v>4839084.5999999996</v>
      </c>
      <c r="I19" s="38">
        <f>IF(C19=0,"NA",H19/C19)</f>
        <v>0.26883803333333334</v>
      </c>
      <c r="J19" s="43"/>
      <c r="K19" s="133"/>
      <c r="L19" s="133"/>
      <c r="M19" s="133"/>
      <c r="N19" s="133"/>
      <c r="O19" s="1"/>
      <c r="P19" s="1"/>
      <c r="Q19" s="133"/>
      <c r="R19" s="134"/>
      <c r="S19" s="134"/>
      <c r="T19" s="134"/>
      <c r="U19" s="134"/>
      <c r="V19" s="134"/>
    </row>
    <row r="20" spans="1:22" s="5" customFormat="1" x14ac:dyDescent="0.25">
      <c r="A20" s="6" t="s">
        <v>73</v>
      </c>
      <c r="B20" s="7">
        <v>729323049.63999987</v>
      </c>
      <c r="C20" s="7">
        <v>454208646.29999989</v>
      </c>
      <c r="D20" s="7">
        <v>2682161.48</v>
      </c>
      <c r="E20" s="7">
        <v>22046317.589999996</v>
      </c>
      <c r="F20" s="7">
        <v>86625062.75</v>
      </c>
      <c r="G20" s="7">
        <f t="shared" si="0"/>
        <v>108671380.34</v>
      </c>
      <c r="H20" s="7">
        <f t="shared" si="5"/>
        <v>345537265.95999992</v>
      </c>
      <c r="I20" s="38">
        <f t="shared" si="2"/>
        <v>0.76074568103174389</v>
      </c>
      <c r="J20" s="44"/>
      <c r="K20" s="1"/>
      <c r="L20" s="133"/>
      <c r="M20" s="133"/>
      <c r="N20" s="133"/>
      <c r="O20" s="133"/>
      <c r="P20" s="133"/>
      <c r="Q20" s="133"/>
      <c r="R20" s="134"/>
      <c r="S20" s="134"/>
      <c r="T20" s="134"/>
      <c r="U20" s="134"/>
      <c r="V20" s="134"/>
    </row>
    <row r="21" spans="1:22" s="5" customFormat="1" x14ac:dyDescent="0.25">
      <c r="A21" s="6" t="s">
        <v>25</v>
      </c>
      <c r="B21" s="7">
        <v>83403442</v>
      </c>
      <c r="C21" s="7">
        <v>83403442</v>
      </c>
      <c r="D21" s="7">
        <v>0</v>
      </c>
      <c r="E21" s="7">
        <v>0</v>
      </c>
      <c r="F21" s="7">
        <v>0</v>
      </c>
      <c r="G21" s="7">
        <f t="shared" si="0"/>
        <v>0</v>
      </c>
      <c r="H21" s="7">
        <f t="shared" si="5"/>
        <v>83403442</v>
      </c>
      <c r="I21" s="38">
        <f t="shared" si="2"/>
        <v>1</v>
      </c>
      <c r="J21" s="43"/>
      <c r="K21" s="133"/>
      <c r="L21" s="133"/>
      <c r="M21" s="133"/>
      <c r="N21" s="133"/>
      <c r="O21" s="1"/>
      <c r="P21" s="1"/>
      <c r="Q21" s="1"/>
      <c r="R21" s="134"/>
      <c r="S21" s="134"/>
      <c r="T21" s="134"/>
      <c r="U21" s="134"/>
      <c r="V21" s="134"/>
    </row>
    <row r="22" spans="1:22" s="5" customFormat="1" x14ac:dyDescent="0.25">
      <c r="A22" s="6" t="s">
        <v>24</v>
      </c>
      <c r="B22" s="7">
        <v>5572080</v>
      </c>
      <c r="C22" s="7">
        <v>5572080</v>
      </c>
      <c r="D22" s="7">
        <v>0</v>
      </c>
      <c r="E22" s="7">
        <v>5810912.5</v>
      </c>
      <c r="F22" s="7">
        <v>0</v>
      </c>
      <c r="G22" s="7">
        <f t="shared" si="0"/>
        <v>5810912.5</v>
      </c>
      <c r="H22" s="7">
        <f t="shared" si="5"/>
        <v>-238832.5</v>
      </c>
      <c r="I22" s="38">
        <f t="shared" si="2"/>
        <v>-4.2862360195833511E-2</v>
      </c>
      <c r="K22" s="133"/>
      <c r="L22" s="133"/>
      <c r="M22" s="133"/>
      <c r="N22" s="133"/>
      <c r="O22" s="1"/>
      <c r="P22" s="1"/>
      <c r="Q22" s="1"/>
      <c r="R22" s="134"/>
      <c r="S22" s="134"/>
      <c r="T22" s="134"/>
      <c r="U22" s="134"/>
      <c r="V22" s="134"/>
    </row>
    <row r="23" spans="1:22" s="5" customFormat="1" ht="24.95" customHeight="1" x14ac:dyDescent="0.25">
      <c r="A23" s="10" t="s">
        <v>26</v>
      </c>
      <c r="B23" s="11">
        <f>SUM(B13:B22)</f>
        <v>847368454.06999981</v>
      </c>
      <c r="C23" s="11">
        <f>SUM(C13:C22)</f>
        <v>590001340.57999992</v>
      </c>
      <c r="D23" s="11">
        <f>SUM(D13:D22)</f>
        <v>3293199.2199999997</v>
      </c>
      <c r="E23" s="11">
        <f>SUM(E13:E22)</f>
        <v>32388546.999999996</v>
      </c>
      <c r="F23" s="11">
        <f>SUM(F13:F22)</f>
        <v>108741195.72</v>
      </c>
      <c r="G23" s="11">
        <f>SUM(G13:G22)</f>
        <v>141129742.72</v>
      </c>
      <c r="H23" s="11">
        <f>SUM(H13:H22)</f>
        <v>448871597.8599999</v>
      </c>
      <c r="I23" s="35">
        <f t="shared" si="2"/>
        <v>0.76079758974570688</v>
      </c>
      <c r="J23" s="45"/>
      <c r="K23" s="1"/>
      <c r="L23" s="133"/>
      <c r="M23" s="133"/>
      <c r="N23" s="133"/>
      <c r="O23" s="133"/>
      <c r="P23" s="133"/>
      <c r="Q23" s="1"/>
      <c r="R23" s="133"/>
      <c r="S23" s="133"/>
    </row>
    <row r="24" spans="1:22" s="5" customFormat="1" x14ac:dyDescent="0.25">
      <c r="A24" s="12"/>
      <c r="B24" s="13"/>
      <c r="C24" s="13"/>
      <c r="D24" s="13"/>
      <c r="E24" s="13"/>
      <c r="F24" s="13"/>
      <c r="G24" s="13"/>
      <c r="H24" s="13"/>
      <c r="I24" s="15"/>
      <c r="J24" s="46"/>
      <c r="K24" s="1"/>
      <c r="L24" s="133"/>
      <c r="M24" s="133"/>
      <c r="N24" s="133"/>
      <c r="O24" s="133"/>
      <c r="P24" s="133"/>
      <c r="Q24" s="1"/>
      <c r="R24" s="133"/>
      <c r="S24" s="133"/>
      <c r="T24" s="1"/>
    </row>
    <row r="25" spans="1:22" x14ac:dyDescent="0.25">
      <c r="A25" s="6" t="s">
        <v>27</v>
      </c>
      <c r="B25" s="7">
        <f>B12-B23</f>
        <v>-415557454.06999981</v>
      </c>
      <c r="C25" s="7">
        <f>C12-C23</f>
        <v>-158114767.21999991</v>
      </c>
      <c r="D25" s="7">
        <f>D12-D23</f>
        <v>11116157.66</v>
      </c>
      <c r="E25" s="7">
        <f>E12-E23</f>
        <v>74742543.730000019</v>
      </c>
      <c r="F25" s="7"/>
      <c r="G25" s="7">
        <f>G12-G23</f>
        <v>-33998651.98999998</v>
      </c>
      <c r="H25" s="7">
        <f>H12-H23</f>
        <v>-124116115.22999984</v>
      </c>
      <c r="I25" s="16"/>
      <c r="J25" s="46"/>
      <c r="R25" s="133"/>
      <c r="S25" s="133"/>
    </row>
    <row r="26" spans="1:22" x14ac:dyDescent="0.25">
      <c r="A26" s="8"/>
      <c r="B26" s="9"/>
      <c r="C26" s="9"/>
      <c r="D26" s="9"/>
      <c r="E26" s="9"/>
      <c r="F26" s="9"/>
      <c r="G26" s="9"/>
      <c r="H26" s="9"/>
      <c r="I26" s="17"/>
      <c r="J26" s="45"/>
      <c r="R26" s="133"/>
      <c r="S26" s="133"/>
    </row>
    <row r="27" spans="1:22" x14ac:dyDescent="0.25">
      <c r="A27" s="18" t="s">
        <v>67</v>
      </c>
      <c r="B27" s="20"/>
      <c r="C27" s="20"/>
      <c r="D27" s="20"/>
      <c r="E27" s="20">
        <v>509808260</v>
      </c>
      <c r="F27" s="20"/>
      <c r="G27" s="20">
        <f>E27</f>
        <v>509808260</v>
      </c>
      <c r="H27" s="20"/>
      <c r="I27" s="21"/>
      <c r="R27" s="133"/>
      <c r="S27" s="133"/>
    </row>
    <row r="28" spans="1:22" ht="15.75" thickBot="1" x14ac:dyDescent="0.3">
      <c r="A28" s="22" t="s">
        <v>28</v>
      </c>
      <c r="B28" s="24"/>
      <c r="C28" s="24"/>
      <c r="D28" s="24"/>
      <c r="E28" s="24">
        <f>SUM(E25:E27)</f>
        <v>584550803.73000002</v>
      </c>
      <c r="F28" s="24"/>
      <c r="G28" s="24">
        <f>SUM(G25:G27)</f>
        <v>475809608.00999999</v>
      </c>
      <c r="H28" s="24"/>
      <c r="I28" s="25"/>
      <c r="K28" s="133"/>
      <c r="O28" s="1"/>
      <c r="P28" s="1"/>
      <c r="R28" s="133"/>
      <c r="S28" s="133"/>
      <c r="T28" s="133"/>
    </row>
    <row r="29" spans="1:22" s="133" customFormat="1" x14ac:dyDescent="0.25">
      <c r="A29" s="5"/>
      <c r="B29" s="32"/>
      <c r="C29" s="32"/>
      <c r="D29" s="32"/>
      <c r="E29" s="32"/>
      <c r="F29" s="32"/>
      <c r="G29" s="32"/>
      <c r="H29" s="32"/>
      <c r="I29" s="5"/>
      <c r="O29" s="1"/>
      <c r="P29" s="1"/>
      <c r="Q29" s="1"/>
      <c r="R29" s="1"/>
    </row>
    <row r="30" spans="1:22" s="133" customFormat="1" x14ac:dyDescent="0.25">
      <c r="H30" s="146"/>
      <c r="K30" s="1"/>
      <c r="Q30" s="1"/>
      <c r="R30" s="1"/>
    </row>
    <row r="31" spans="1:22" s="133" customFormat="1" x14ac:dyDescent="0.25">
      <c r="B31" s="146"/>
      <c r="K31" s="1"/>
      <c r="Q31" s="1"/>
      <c r="R31" s="1"/>
    </row>
    <row r="32" spans="1:22" s="133" customFormat="1" x14ac:dyDescent="0.25">
      <c r="D32" s="146"/>
      <c r="K32" s="1"/>
      <c r="Q32" s="1"/>
    </row>
    <row r="33" spans="1:18" s="133" customFormat="1" x14ac:dyDescent="0.25">
      <c r="I33" s="1"/>
      <c r="O33" s="1"/>
    </row>
    <row r="34" spans="1:18" s="133" customFormat="1" x14ac:dyDescent="0.25">
      <c r="E34" s="1"/>
      <c r="G34" s="1"/>
      <c r="I34" s="1"/>
      <c r="O34" s="1"/>
      <c r="P34" s="1"/>
    </row>
    <row r="35" spans="1:18" s="133" customFormat="1" x14ac:dyDescent="0.25">
      <c r="C35" s="1"/>
      <c r="E35" s="1"/>
      <c r="G35" s="1"/>
      <c r="I35" s="1"/>
      <c r="O35" s="1"/>
      <c r="P35" s="1"/>
    </row>
    <row r="36" spans="1:18" s="133" customFormat="1" x14ac:dyDescent="0.25">
      <c r="G36" s="1"/>
      <c r="I36" s="1"/>
      <c r="O36" s="1"/>
      <c r="P36" s="1"/>
      <c r="Q36" s="1"/>
      <c r="R36" s="1"/>
    </row>
    <row r="37" spans="1:18" x14ac:dyDescent="0.25">
      <c r="A37" s="133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O37" s="1"/>
      <c r="P37" s="1"/>
    </row>
    <row r="38" spans="1:18" x14ac:dyDescent="0.25"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O38" s="1"/>
      <c r="P38" s="1"/>
    </row>
    <row r="39" spans="1:18" x14ac:dyDescent="0.25">
      <c r="B39" s="133"/>
      <c r="C39" s="133"/>
      <c r="D39" s="133"/>
      <c r="E39" s="133"/>
      <c r="F39" s="133"/>
      <c r="G39" s="133"/>
      <c r="H39" s="133"/>
      <c r="I39" s="133"/>
      <c r="J39" s="133"/>
    </row>
    <row r="40" spans="1:18" x14ac:dyDescent="0.25">
      <c r="B40" s="133"/>
      <c r="C40" s="133"/>
      <c r="D40" s="133"/>
      <c r="E40" s="133"/>
      <c r="F40" s="133"/>
      <c r="J40" s="133"/>
    </row>
    <row r="41" spans="1:18" x14ac:dyDescent="0.25">
      <c r="B41" s="133"/>
      <c r="C41" s="133"/>
      <c r="D41" s="133"/>
      <c r="E41" s="133"/>
      <c r="F41" s="133"/>
    </row>
    <row r="42" spans="1:18" x14ac:dyDescent="0.25">
      <c r="I42" s="29"/>
    </row>
    <row r="43" spans="1:18" x14ac:dyDescent="0.25">
      <c r="I43" s="29"/>
    </row>
    <row r="44" spans="1:18" x14ac:dyDescent="0.25">
      <c r="I44" s="29"/>
    </row>
    <row r="45" spans="1:18" x14ac:dyDescent="0.25">
      <c r="I45" s="29"/>
    </row>
    <row r="46" spans="1:18" x14ac:dyDescent="0.25">
      <c r="I46" s="29"/>
    </row>
    <row r="47" spans="1:18" x14ac:dyDescent="0.25">
      <c r="I47" s="29"/>
    </row>
    <row r="48" spans="1:18" x14ac:dyDescent="0.25">
      <c r="I48" s="29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XFD40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29" bestFit="1" customWidth="1"/>
    <col min="4" max="5" width="13.28515625" style="29" bestFit="1" customWidth="1"/>
    <col min="6" max="6" width="16.85546875" style="29" customWidth="1"/>
    <col min="7" max="7" width="13.5703125" style="29" bestFit="1" customWidth="1"/>
    <col min="8" max="8" width="13.28515625" style="29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30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20" width="9.140625" style="1"/>
    <col min="21" max="22" width="12.42578125" style="1" bestFit="1" customWidth="1"/>
    <col min="23" max="16384" width="9.140625" style="1"/>
  </cols>
  <sheetData>
    <row r="1" spans="1:23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</row>
    <row r="2" spans="1:23" ht="18.75" x14ac:dyDescent="0.3">
      <c r="A2" s="155" t="s">
        <v>77</v>
      </c>
      <c r="B2" s="155"/>
      <c r="C2" s="155"/>
      <c r="D2" s="155"/>
      <c r="E2" s="155"/>
      <c r="F2" s="155"/>
      <c r="G2" s="155"/>
      <c r="H2" s="155"/>
      <c r="I2" s="155"/>
    </row>
    <row r="3" spans="1:23" x14ac:dyDescent="0.25">
      <c r="A3" s="154" t="s">
        <v>1</v>
      </c>
      <c r="B3" s="154"/>
      <c r="C3" s="154"/>
      <c r="D3" s="154"/>
      <c r="E3" s="154"/>
      <c r="F3" s="154"/>
      <c r="G3" s="154"/>
      <c r="H3" s="154"/>
      <c r="I3" s="154"/>
    </row>
    <row r="4" spans="1:23" x14ac:dyDescent="0.25">
      <c r="A4" s="156">
        <v>45351</v>
      </c>
      <c r="B4" s="156"/>
      <c r="C4" s="156"/>
      <c r="D4" s="156"/>
      <c r="E4" s="156"/>
      <c r="F4" s="156"/>
      <c r="G4" s="156"/>
      <c r="H4" s="156"/>
      <c r="I4" s="156"/>
    </row>
    <row r="5" spans="1:23" x14ac:dyDescent="0.25">
      <c r="A5" s="154" t="s">
        <v>2</v>
      </c>
      <c r="B5" s="154"/>
      <c r="C5" s="154"/>
      <c r="D5" s="154"/>
      <c r="E5" s="154"/>
      <c r="F5" s="154"/>
      <c r="G5" s="154"/>
      <c r="H5" s="154"/>
      <c r="I5" s="154"/>
    </row>
    <row r="6" spans="1:23" ht="15.75" thickBot="1" x14ac:dyDescent="0.3">
      <c r="A6" s="154"/>
      <c r="B6" s="154"/>
      <c r="C6" s="154"/>
      <c r="D6" s="154"/>
      <c r="E6" s="154"/>
      <c r="F6" s="154"/>
      <c r="G6" s="154"/>
      <c r="H6" s="154"/>
      <c r="I6" s="154"/>
    </row>
    <row r="7" spans="1:23" s="5" customFormat="1" ht="45.75" thickBot="1" x14ac:dyDescent="0.25">
      <c r="A7" s="2" t="s">
        <v>32</v>
      </c>
      <c r="B7" s="31" t="s">
        <v>34</v>
      </c>
      <c r="C7" s="31" t="s">
        <v>33</v>
      </c>
      <c r="D7" s="31" t="s">
        <v>3</v>
      </c>
      <c r="E7" s="31" t="s">
        <v>4</v>
      </c>
      <c r="F7" s="31" t="s">
        <v>5</v>
      </c>
      <c r="G7" s="31" t="s">
        <v>6</v>
      </c>
      <c r="H7" s="31" t="s">
        <v>7</v>
      </c>
      <c r="I7" s="4" t="s">
        <v>31</v>
      </c>
      <c r="M7" s="134"/>
      <c r="N7" s="134"/>
      <c r="O7" s="134"/>
      <c r="P7" s="134"/>
      <c r="Q7" s="134"/>
      <c r="R7" s="134"/>
    </row>
    <row r="8" spans="1:23" s="5" customFormat="1" x14ac:dyDescent="0.2">
      <c r="A8" s="6" t="s">
        <v>8</v>
      </c>
      <c r="B8" s="7">
        <v>61049795.369999997</v>
      </c>
      <c r="C8" s="7">
        <v>61049795.369999997</v>
      </c>
      <c r="D8" s="7">
        <v>9908.8499999999985</v>
      </c>
      <c r="E8" s="7">
        <v>1842706.12</v>
      </c>
      <c r="F8" s="7">
        <v>0</v>
      </c>
      <c r="G8" s="7">
        <f t="shared" ref="G8:G17" si="0">SUM(E8:F8)</f>
        <v>1842706.12</v>
      </c>
      <c r="H8" s="7">
        <f t="shared" ref="H8:H12" si="1">C8-G8</f>
        <v>59207089.25</v>
      </c>
      <c r="I8" s="38">
        <f>IF(C8=0,"NA",H8/C8)</f>
        <v>0.96981634239996961</v>
      </c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spans="1:23" s="5" customFormat="1" x14ac:dyDescent="0.2">
      <c r="A9" s="6" t="s">
        <v>9</v>
      </c>
      <c r="B9" s="7">
        <v>0</v>
      </c>
      <c r="C9" s="7">
        <v>0</v>
      </c>
      <c r="D9" s="7">
        <v>0</v>
      </c>
      <c r="E9" s="7">
        <v>129539.55</v>
      </c>
      <c r="F9" s="7">
        <v>0</v>
      </c>
      <c r="G9" s="7">
        <f t="shared" si="0"/>
        <v>129539.55</v>
      </c>
      <c r="H9" s="7">
        <f t="shared" si="1"/>
        <v>-129539.55</v>
      </c>
      <c r="I9" s="38" t="str">
        <f t="shared" ref="I9:I18" si="2">IF(C9=0,"NA",H9/C9)</f>
        <v>NA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spans="1:23" s="5" customFormat="1" x14ac:dyDescent="0.2">
      <c r="A10" s="6" t="s">
        <v>10</v>
      </c>
      <c r="B10" s="7">
        <v>0</v>
      </c>
      <c r="C10" s="7">
        <v>0</v>
      </c>
      <c r="D10" s="7">
        <v>128379.99999999993</v>
      </c>
      <c r="E10" s="7">
        <v>813403.00000000023</v>
      </c>
      <c r="F10" s="7">
        <v>0</v>
      </c>
      <c r="G10" s="7">
        <f t="shared" si="0"/>
        <v>813403.00000000023</v>
      </c>
      <c r="H10" s="7">
        <f t="shared" si="1"/>
        <v>-813403.00000000023</v>
      </c>
      <c r="I10" s="38" t="str">
        <f t="shared" si="2"/>
        <v>NA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spans="1:23" s="5" customFormat="1" x14ac:dyDescent="0.2">
      <c r="A11" s="6" t="s">
        <v>74</v>
      </c>
      <c r="B11" s="7">
        <v>11801978</v>
      </c>
      <c r="C11" s="7">
        <v>11801978</v>
      </c>
      <c r="D11" s="7">
        <v>0</v>
      </c>
      <c r="E11" s="7">
        <v>30475081.969999995</v>
      </c>
      <c r="F11" s="7">
        <v>0</v>
      </c>
      <c r="G11" s="7">
        <f t="shared" si="0"/>
        <v>30475081.969999995</v>
      </c>
      <c r="H11" s="7">
        <f t="shared" si="1"/>
        <v>-18673103.969999995</v>
      </c>
      <c r="I11" s="38">
        <f t="shared" si="2"/>
        <v>-1.5822012183042533</v>
      </c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spans="1:23" s="5" customFormat="1" x14ac:dyDescent="0.2">
      <c r="A12" s="8" t="s">
        <v>11</v>
      </c>
      <c r="B12" s="7">
        <v>2800000</v>
      </c>
      <c r="C12" s="7">
        <v>2800000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2800000</v>
      </c>
      <c r="I12" s="38">
        <f t="shared" si="2"/>
        <v>1</v>
      </c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spans="1:23" s="5" customFormat="1" ht="24.95" customHeight="1" x14ac:dyDescent="0.25">
      <c r="A13" s="10" t="s">
        <v>12</v>
      </c>
      <c r="B13" s="11">
        <f>SUM(B8:B12)</f>
        <v>75651773.370000005</v>
      </c>
      <c r="C13" s="11">
        <f t="shared" ref="C13:H13" si="3">SUM(C8:C12)</f>
        <v>75651773.370000005</v>
      </c>
      <c r="D13" s="11">
        <f t="shared" si="3"/>
        <v>138288.84999999992</v>
      </c>
      <c r="E13" s="11">
        <f t="shared" si="3"/>
        <v>33260730.639999997</v>
      </c>
      <c r="F13" s="11">
        <f t="shared" si="3"/>
        <v>0</v>
      </c>
      <c r="G13" s="11">
        <f t="shared" si="3"/>
        <v>33260730.639999997</v>
      </c>
      <c r="H13" s="11">
        <f t="shared" si="3"/>
        <v>42391042.730000004</v>
      </c>
      <c r="I13" s="35">
        <f t="shared" si="2"/>
        <v>0.56034433618195034</v>
      </c>
      <c r="L13" s="1"/>
      <c r="M13" s="1"/>
      <c r="N13" s="1"/>
      <c r="O13" s="1"/>
      <c r="P13" s="1"/>
      <c r="Q13" s="1"/>
      <c r="R13" s="1"/>
      <c r="S13" s="134"/>
      <c r="T13" s="134"/>
      <c r="U13" s="134"/>
      <c r="V13" s="134"/>
      <c r="W13" s="134"/>
    </row>
    <row r="14" spans="1:23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38" t="str">
        <f t="shared" si="2"/>
        <v>NA</v>
      </c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spans="1:23" s="5" customFormat="1" x14ac:dyDescent="0.2">
      <c r="A15" s="6" t="s">
        <v>20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38" t="str">
        <f t="shared" si="2"/>
        <v>NA</v>
      </c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spans="1:23" s="5" customFormat="1" x14ac:dyDescent="0.25">
      <c r="A16" s="6" t="s">
        <v>29</v>
      </c>
      <c r="B16" s="7">
        <v>75651773.570000023</v>
      </c>
      <c r="C16" s="7">
        <v>75651773.570000023</v>
      </c>
      <c r="D16" s="7">
        <v>5233958.0799999973</v>
      </c>
      <c r="E16" s="7">
        <v>39115013.509999931</v>
      </c>
      <c r="F16" s="7">
        <v>5027982.24</v>
      </c>
      <c r="G16" s="7">
        <f t="shared" si="0"/>
        <v>44142995.749999933</v>
      </c>
      <c r="H16" s="7">
        <f t="shared" si="4"/>
        <v>31508777.82000009</v>
      </c>
      <c r="I16" s="38">
        <f t="shared" si="2"/>
        <v>0.4164975430595193</v>
      </c>
      <c r="L16" s="1"/>
      <c r="M16" s="1"/>
      <c r="N16" s="1"/>
      <c r="O16" s="1"/>
      <c r="P16" s="1"/>
      <c r="Q16" s="1"/>
      <c r="R16" s="1"/>
      <c r="S16" s="1"/>
      <c r="V16" s="134"/>
      <c r="W16" s="134"/>
    </row>
    <row r="17" spans="1:16384" s="5" customFormat="1" x14ac:dyDescent="0.25">
      <c r="A17" s="6" t="s">
        <v>25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38" t="str">
        <f t="shared" si="2"/>
        <v>NA</v>
      </c>
      <c r="L17" s="1"/>
      <c r="M17" s="1"/>
      <c r="N17" s="1"/>
      <c r="O17" s="1"/>
      <c r="P17" s="1"/>
      <c r="Q17" s="1"/>
      <c r="R17" s="1"/>
      <c r="S17" s="1"/>
      <c r="T17" s="1"/>
      <c r="W17" s="134"/>
    </row>
    <row r="18" spans="1:16384" s="5" customFormat="1" ht="24.95" customHeight="1" x14ac:dyDescent="0.25">
      <c r="A18" s="10" t="s">
        <v>26</v>
      </c>
      <c r="B18" s="11">
        <f>SUM(B14:B17)</f>
        <v>75651773.570000023</v>
      </c>
      <c r="C18" s="11">
        <f t="shared" ref="C18:G18" si="5">SUM(C14:C17)</f>
        <v>75651773.570000023</v>
      </c>
      <c r="D18" s="11">
        <f t="shared" si="5"/>
        <v>5233958.0799999973</v>
      </c>
      <c r="E18" s="11">
        <f t="shared" si="5"/>
        <v>39115013.509999931</v>
      </c>
      <c r="F18" s="11">
        <f t="shared" si="5"/>
        <v>5027982.24</v>
      </c>
      <c r="G18" s="11">
        <f t="shared" si="5"/>
        <v>44142995.749999933</v>
      </c>
      <c r="H18" s="11">
        <f t="shared" ref="H18" si="6">SUM(H14:H17)</f>
        <v>31508777.82000009</v>
      </c>
      <c r="I18" s="35">
        <f t="shared" si="2"/>
        <v>0.4164975430595193</v>
      </c>
      <c r="L18" s="1"/>
      <c r="M18" s="1"/>
      <c r="N18" s="1"/>
      <c r="O18" s="1"/>
      <c r="P18" s="1"/>
      <c r="Q18" s="1"/>
      <c r="R18" s="1"/>
      <c r="S18" s="1"/>
      <c r="T18" s="1"/>
    </row>
    <row r="19" spans="1:16384" s="5" customFormat="1" x14ac:dyDescent="0.25">
      <c r="A19" s="12"/>
      <c r="B19" s="13"/>
      <c r="C19" s="13"/>
      <c r="D19" s="13"/>
      <c r="E19" s="13"/>
      <c r="F19" s="13"/>
      <c r="G19" s="13"/>
      <c r="H19" s="13"/>
      <c r="I19" s="15"/>
      <c r="L19" s="1"/>
      <c r="M19" s="1"/>
      <c r="N19" s="1"/>
      <c r="O19" s="1"/>
      <c r="P19" s="1"/>
      <c r="Q19" s="1"/>
      <c r="R19" s="1"/>
      <c r="S19" s="1"/>
      <c r="T19" s="1"/>
    </row>
    <row r="20" spans="1:16384" s="5" customFormat="1" x14ac:dyDescent="0.25">
      <c r="A20" s="6" t="s">
        <v>27</v>
      </c>
      <c r="B20" s="7">
        <f>B13-B18</f>
        <v>-0.20000001788139343</v>
      </c>
      <c r="C20" s="7">
        <f>C13-C18</f>
        <v>-0.20000001788139343</v>
      </c>
      <c r="D20" s="7">
        <f>D13-D18</f>
        <v>-5095669.2299999977</v>
      </c>
      <c r="E20" s="7">
        <f>E13-E18</f>
        <v>-5854282.869999934</v>
      </c>
      <c r="F20" s="7"/>
      <c r="G20" s="7">
        <f>G13-G18</f>
        <v>-10882265.109999936</v>
      </c>
      <c r="H20" s="7">
        <f>H13-H18</f>
        <v>10882264.909999914</v>
      </c>
      <c r="I20" s="16"/>
      <c r="L20" s="1"/>
      <c r="M20" s="1"/>
      <c r="N20" s="1"/>
      <c r="O20" s="1"/>
      <c r="P20" s="1"/>
      <c r="Q20" s="1"/>
      <c r="R20" s="1"/>
      <c r="S20" s="1"/>
      <c r="T20" s="1"/>
    </row>
    <row r="21" spans="1:16384" s="5" customFormat="1" x14ac:dyDescent="0.25">
      <c r="A21" s="8"/>
      <c r="B21" s="9"/>
      <c r="C21" s="9"/>
      <c r="D21" s="9"/>
      <c r="E21" s="9"/>
      <c r="F21" s="9"/>
      <c r="G21" s="9"/>
      <c r="H21" s="9"/>
      <c r="I21" s="17"/>
      <c r="L21" s="1"/>
      <c r="M21" s="1"/>
      <c r="N21" s="1"/>
      <c r="O21" s="1"/>
      <c r="P21" s="1"/>
      <c r="Q21" s="1"/>
      <c r="R21" s="1"/>
      <c r="S21" s="1"/>
      <c r="T21" s="1"/>
    </row>
    <row r="22" spans="1:16384" s="5" customFormat="1" x14ac:dyDescent="0.25">
      <c r="A22" s="18" t="s">
        <v>67</v>
      </c>
      <c r="B22" s="20"/>
      <c r="C22" s="20"/>
      <c r="D22" s="20"/>
      <c r="E22" s="20">
        <v>28575254</v>
      </c>
      <c r="F22" s="20"/>
      <c r="G22" s="20">
        <f>E22</f>
        <v>28575254</v>
      </c>
      <c r="H22" s="20"/>
      <c r="I22" s="2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16384" s="5" customFormat="1" ht="24.95" customHeight="1" thickBot="1" x14ac:dyDescent="0.3">
      <c r="A23" s="22" t="s">
        <v>28</v>
      </c>
      <c r="B23" s="24"/>
      <c r="C23" s="24"/>
      <c r="D23" s="24"/>
      <c r="E23" s="24">
        <f>SUM(E20:E22)</f>
        <v>22720971.130000066</v>
      </c>
      <c r="F23" s="24"/>
      <c r="G23" s="24">
        <f>SUM(G20:G22)</f>
        <v>17692988.890000064</v>
      </c>
      <c r="H23" s="24"/>
      <c r="I23" s="25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16384" s="5" customFormat="1" x14ac:dyDescent="0.25">
      <c r="A24" s="30"/>
      <c r="B24" s="32"/>
      <c r="C24" s="32"/>
      <c r="D24" s="32"/>
      <c r="E24" s="32"/>
      <c r="F24" s="32"/>
      <c r="G24" s="32"/>
      <c r="H24" s="3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16384" s="5" customFormat="1" x14ac:dyDescent="0.25">
      <c r="B25" s="29"/>
      <c r="C25" s="136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16384" s="5" customFormat="1" x14ac:dyDescent="0.25">
      <c r="A26" s="1"/>
      <c r="B26" s="29"/>
      <c r="C26" s="29"/>
      <c r="D26" s="29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 s="1"/>
      <c r="XFA26" s="1"/>
      <c r="XFB26" s="1"/>
      <c r="XFC26" s="1"/>
      <c r="XFD26" s="1"/>
    </row>
    <row r="27" spans="1:16384" x14ac:dyDescent="0.25">
      <c r="G27" s="1"/>
      <c r="H27" s="1"/>
    </row>
    <row r="28" spans="1:16384" x14ac:dyDescent="0.25">
      <c r="I28" s="29"/>
      <c r="J28" s="29"/>
    </row>
    <row r="29" spans="1:16384" x14ac:dyDescent="0.25">
      <c r="E29" s="1"/>
      <c r="F29" s="1"/>
      <c r="G29" s="1"/>
      <c r="H29" s="1"/>
    </row>
    <row r="30" spans="1:16384" x14ac:dyDescent="0.25">
      <c r="B30" s="1"/>
      <c r="C30" s="1"/>
      <c r="D30" s="1"/>
      <c r="E30" s="1"/>
      <c r="F30" s="1"/>
      <c r="G30" s="1"/>
      <c r="H30" s="1"/>
    </row>
    <row r="31" spans="1:16384" x14ac:dyDescent="0.25">
      <c r="F31" s="1"/>
      <c r="G31" s="1"/>
      <c r="H31" s="1"/>
    </row>
    <row r="32" spans="1:16384" x14ac:dyDescent="0.25">
      <c r="I32" s="29"/>
      <c r="J32" s="29"/>
    </row>
    <row r="33" spans="5:11" x14ac:dyDescent="0.25">
      <c r="I33" s="29"/>
      <c r="J33" s="29"/>
      <c r="K33" s="29"/>
    </row>
    <row r="35" spans="5:11" x14ac:dyDescent="0.25">
      <c r="E35" s="1"/>
      <c r="F35" s="1"/>
      <c r="G35" s="1"/>
      <c r="H35" s="1"/>
    </row>
    <row r="36" spans="5:11" x14ac:dyDescent="0.25">
      <c r="G36" s="1"/>
      <c r="H36" s="1"/>
    </row>
    <row r="37" spans="5:11" x14ac:dyDescent="0.25">
      <c r="H37" s="1"/>
    </row>
    <row r="38" spans="5:11" x14ac:dyDescent="0.25">
      <c r="H38" s="1"/>
    </row>
    <row r="39" spans="5:11" x14ac:dyDescent="0.25">
      <c r="H39" s="1"/>
    </row>
    <row r="40" spans="5:11" x14ac:dyDescent="0.25">
      <c r="H40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31FE70-6FE1-4FFF-A898-2B385D537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125589-3B97-4A8E-BFB5-F8CAEDF79A9D}">
  <ds:schemaRefs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fd92ff4e-e524-4e6b-bcac-5c88d6f646b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(2024)</vt:lpstr>
      <vt:lpstr>SPECIAL REVENUE</vt:lpstr>
      <vt:lpstr>DEBT SERVICE</vt:lpstr>
      <vt:lpstr>CAPITAL PROJECTS</vt:lpstr>
      <vt:lpstr>SCHOOL NUTRITION</vt:lpstr>
      <vt:lpstr>Budget vs Actual (2024)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FINANCE</cp:lastModifiedBy>
  <cp:lastPrinted>2024-03-13T18:31:51Z</cp:lastPrinted>
  <dcterms:created xsi:type="dcterms:W3CDTF">2020-01-29T12:55:36Z</dcterms:created>
  <dcterms:modified xsi:type="dcterms:W3CDTF">2024-03-13T18:35:32Z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