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6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T18" i="10"/>
  <c r="T19" i="10"/>
  <c r="T20" i="10"/>
  <c r="T21" i="10"/>
  <c r="T22" i="10"/>
  <c r="T23" i="10"/>
  <c r="T24" i="10"/>
  <c r="T25" i="10"/>
  <c r="P24" i="10"/>
  <c r="P9" i="10"/>
  <c r="E18" i="10"/>
  <c r="Q26" i="10"/>
  <c r="G14" i="1"/>
  <c r="G15" i="1"/>
  <c r="G16" i="1"/>
  <c r="G17" i="1"/>
  <c r="G18" i="1"/>
  <c r="G19" i="1"/>
  <c r="G20" i="1"/>
  <c r="G21" i="1"/>
  <c r="G22" i="1"/>
  <c r="G23" i="1"/>
  <c r="H23" i="1" s="1"/>
  <c r="G24" i="1"/>
  <c r="G25" i="1"/>
  <c r="G26" i="1"/>
  <c r="G27" i="1"/>
  <c r="G28" i="1"/>
  <c r="G29" i="1"/>
  <c r="G30" i="1"/>
  <c r="I23" i="1"/>
  <c r="O20" i="10" l="1"/>
  <c r="O19" i="10"/>
  <c r="O17" i="10"/>
  <c r="O16" i="10"/>
  <c r="O14" i="10"/>
  <c r="O13" i="10"/>
  <c r="O11" i="10"/>
  <c r="O10" i="10"/>
  <c r="O9" i="10"/>
  <c r="G16" i="4" l="1"/>
  <c r="H16" i="4" s="1"/>
  <c r="I16" i="4" s="1"/>
  <c r="N23" i="10" l="1"/>
  <c r="N21" i="10"/>
  <c r="N20" i="10"/>
  <c r="N19" i="10"/>
  <c r="N17" i="10"/>
  <c r="N16" i="10"/>
  <c r="N15" i="10"/>
  <c r="N14" i="10"/>
  <c r="N13" i="10"/>
  <c r="N11" i="10"/>
  <c r="N10" i="10"/>
  <c r="N9" i="10"/>
  <c r="S26" i="10"/>
  <c r="G8" i="1"/>
  <c r="G9" i="1"/>
  <c r="G10" i="1"/>
  <c r="G11" i="1"/>
  <c r="G12" i="1"/>
  <c r="G12" i="5" l="1"/>
  <c r="G11" i="5"/>
  <c r="G10" i="5"/>
  <c r="G9" i="5"/>
  <c r="G8" i="5"/>
  <c r="F48" i="10" l="1"/>
  <c r="G48" i="10"/>
  <c r="H48" i="10"/>
  <c r="I48" i="10"/>
  <c r="J48" i="10"/>
  <c r="K48" i="10"/>
  <c r="L48" i="10"/>
  <c r="M48" i="10"/>
  <c r="N48" i="10"/>
  <c r="O48" i="10"/>
  <c r="P48" i="10"/>
  <c r="F49" i="10"/>
  <c r="G49" i="10"/>
  <c r="H49" i="10"/>
  <c r="I49" i="10"/>
  <c r="J49" i="10"/>
  <c r="K49" i="10"/>
  <c r="L49" i="10"/>
  <c r="M49" i="10"/>
  <c r="N49" i="10"/>
  <c r="O49" i="10"/>
  <c r="P49" i="10"/>
  <c r="E48" i="10"/>
  <c r="L43" i="10"/>
  <c r="L41" i="10"/>
  <c r="M24" i="10"/>
  <c r="M21" i="10"/>
  <c r="M20" i="10"/>
  <c r="M19" i="10"/>
  <c r="M17" i="10"/>
  <c r="M16" i="10"/>
  <c r="M15" i="10"/>
  <c r="M14" i="10"/>
  <c r="M13" i="10"/>
  <c r="M11" i="10"/>
  <c r="M10" i="10"/>
  <c r="M9" i="10"/>
  <c r="I29" i="2" l="1"/>
  <c r="I9" i="2"/>
  <c r="I8" i="3"/>
  <c r="G29" i="2"/>
  <c r="H29" i="2" s="1"/>
  <c r="B48" i="10"/>
  <c r="C44" i="10"/>
  <c r="M46" i="10"/>
  <c r="H11" i="1"/>
  <c r="I11" i="1" s="1"/>
  <c r="D44" i="10" l="1"/>
  <c r="T44" i="10"/>
  <c r="G20" i="4"/>
  <c r="H20" i="4" s="1"/>
  <c r="I20" i="4" s="1"/>
  <c r="K41" i="10" l="1"/>
  <c r="L23" i="10"/>
  <c r="L16" i="10"/>
  <c r="L11" i="10"/>
  <c r="L10" i="10"/>
  <c r="L9" i="10"/>
  <c r="J45" i="10" l="1"/>
  <c r="J43" i="10"/>
  <c r="J42" i="10"/>
  <c r="J41" i="10"/>
  <c r="K20" i="10"/>
  <c r="K19" i="10"/>
  <c r="K17" i="10"/>
  <c r="K16" i="10"/>
  <c r="K14" i="10"/>
  <c r="K13" i="10"/>
  <c r="K11" i="10"/>
  <c r="K10" i="10"/>
  <c r="K9" i="10"/>
  <c r="I43" i="10" l="1"/>
  <c r="I41" i="10"/>
  <c r="J23" i="10"/>
  <c r="J20" i="10"/>
  <c r="J19" i="10"/>
  <c r="J17" i="10"/>
  <c r="J16" i="10"/>
  <c r="J14" i="10"/>
  <c r="J13" i="10"/>
  <c r="J11" i="10"/>
  <c r="J10" i="10"/>
  <c r="J9" i="10"/>
  <c r="C13" i="3"/>
  <c r="D13" i="3"/>
  <c r="E13" i="3"/>
  <c r="F13" i="3"/>
  <c r="B13" i="3"/>
  <c r="C10" i="3"/>
  <c r="D10" i="3"/>
  <c r="E10" i="3"/>
  <c r="F10" i="3"/>
  <c r="G10" i="3"/>
  <c r="H10" i="3"/>
  <c r="H43" i="10" l="1"/>
  <c r="H41" i="10"/>
  <c r="I20" i="10"/>
  <c r="I19" i="10"/>
  <c r="I17" i="10"/>
  <c r="I16" i="10"/>
  <c r="I14" i="10"/>
  <c r="I13" i="10"/>
  <c r="I11" i="10"/>
  <c r="I9" i="10"/>
  <c r="G17" i="5" l="1"/>
  <c r="G16" i="5"/>
  <c r="G15" i="5"/>
  <c r="G14" i="5"/>
  <c r="H20" i="10" l="1"/>
  <c r="H17" i="10"/>
  <c r="H14" i="10"/>
  <c r="H13" i="10"/>
  <c r="H11" i="10"/>
  <c r="H10" i="10"/>
  <c r="H9" i="10"/>
  <c r="G41" i="10" l="1"/>
  <c r="H19" i="10"/>
  <c r="H16" i="10"/>
  <c r="G15" i="4" l="1"/>
  <c r="H15" i="4" s="1"/>
  <c r="I15" i="4" s="1"/>
  <c r="G20" i="10" l="1"/>
  <c r="G19" i="10"/>
  <c r="G17" i="10"/>
  <c r="G16" i="10"/>
  <c r="G14" i="10"/>
  <c r="G13" i="10"/>
  <c r="G11" i="10"/>
  <c r="G10" i="10"/>
  <c r="G9" i="10"/>
  <c r="H26" i="10"/>
  <c r="F20" i="10" l="1"/>
  <c r="F17" i="10"/>
  <c r="F16" i="10"/>
  <c r="F14" i="10"/>
  <c r="F11" i="10"/>
  <c r="F10" i="10"/>
  <c r="F9" i="10"/>
  <c r="G23" i="4" l="1"/>
  <c r="H23" i="4" s="1"/>
  <c r="G22" i="4"/>
  <c r="H22" i="4" s="1"/>
  <c r="G21" i="4"/>
  <c r="H21" i="4" s="1"/>
  <c r="G19" i="4"/>
  <c r="H19" i="4" s="1"/>
  <c r="I19" i="4" s="1"/>
  <c r="G18" i="4"/>
  <c r="H18" i="4" s="1"/>
  <c r="G17" i="4"/>
  <c r="H17" i="4" s="1"/>
  <c r="G14" i="4"/>
  <c r="H14" i="4" s="1"/>
  <c r="I21" i="4" l="1"/>
  <c r="I22" i="4"/>
  <c r="H29" i="1" l="1"/>
  <c r="I29" i="1" s="1"/>
  <c r="C41" i="10" l="1"/>
  <c r="C42" i="10"/>
  <c r="C43" i="10"/>
  <c r="C49" i="10" s="1"/>
  <c r="C45" i="10"/>
  <c r="G11" i="3"/>
  <c r="G13" i="3" s="1"/>
  <c r="G12" i="3"/>
  <c r="C48" i="10" l="1"/>
  <c r="C50" i="10" s="1"/>
  <c r="I14" i="4"/>
  <c r="G8" i="4" l="1"/>
  <c r="G9" i="4"/>
  <c r="G10" i="4"/>
  <c r="G11" i="4"/>
  <c r="E37" i="1" l="1"/>
  <c r="G37" i="1" s="1"/>
  <c r="G36" i="1"/>
  <c r="H67" i="10" l="1"/>
  <c r="F26" i="10"/>
  <c r="E21" i="10"/>
  <c r="E22" i="10"/>
  <c r="E23" i="10"/>
  <c r="E24" i="10"/>
  <c r="E25" i="10"/>
  <c r="H28" i="1" l="1"/>
  <c r="I28" i="1" s="1"/>
  <c r="G13" i="4" l="1"/>
  <c r="C31" i="1" l="1"/>
  <c r="D31" i="1"/>
  <c r="E31" i="1"/>
  <c r="F31" i="1"/>
  <c r="B31" i="1"/>
  <c r="G31" i="1" l="1"/>
  <c r="U26" i="10"/>
  <c r="C12" i="4" l="1"/>
  <c r="D12" i="4"/>
  <c r="E12" i="4"/>
  <c r="F12" i="4"/>
  <c r="B12" i="4"/>
  <c r="I17" i="4"/>
  <c r="E16" i="10"/>
  <c r="T16" i="10" s="1"/>
  <c r="E13" i="10"/>
  <c r="T13" i="10" s="1"/>
  <c r="I11" i="3"/>
  <c r="H11" i="3"/>
  <c r="H13" i="3" s="1"/>
  <c r="G9" i="3"/>
  <c r="H9" i="3" s="1"/>
  <c r="I9" i="3" s="1"/>
  <c r="G8" i="3"/>
  <c r="H8" i="3" s="1"/>
  <c r="H12" i="3"/>
  <c r="I12" i="3" s="1"/>
  <c r="B49" i="10"/>
  <c r="E20" i="10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4" i="1"/>
  <c r="I24" i="1" s="1"/>
  <c r="H27" i="1"/>
  <c r="I27" i="1" s="1"/>
  <c r="H30" i="1"/>
  <c r="I30" i="1" s="1"/>
  <c r="H26" i="1"/>
  <c r="I26" i="1" s="1"/>
  <c r="H25" i="1"/>
  <c r="I25" i="1" s="1"/>
  <c r="B13" i="1"/>
  <c r="D13" i="1"/>
  <c r="E13" i="1"/>
  <c r="F13" i="1"/>
  <c r="B68" i="10"/>
  <c r="E49" i="10"/>
  <c r="E53" i="10"/>
  <c r="P46" i="10"/>
  <c r="O46" i="10"/>
  <c r="N46" i="10"/>
  <c r="L46" i="10"/>
  <c r="K46" i="10"/>
  <c r="J46" i="10"/>
  <c r="I46" i="10"/>
  <c r="H46" i="10"/>
  <c r="G46" i="10"/>
  <c r="F46" i="10"/>
  <c r="E46" i="10"/>
  <c r="B46" i="10"/>
  <c r="T45" i="10"/>
  <c r="T43" i="10"/>
  <c r="T42" i="10"/>
  <c r="T41" i="10"/>
  <c r="P26" i="10"/>
  <c r="O26" i="10"/>
  <c r="N26" i="10"/>
  <c r="M26" i="10"/>
  <c r="E15" i="10"/>
  <c r="T15" i="10" s="1"/>
  <c r="E14" i="10"/>
  <c r="T14" i="10" s="1"/>
  <c r="E12" i="10"/>
  <c r="T12" i="10" s="1"/>
  <c r="E10" i="10"/>
  <c r="T10" i="10" s="1"/>
  <c r="G22" i="5"/>
  <c r="G28" i="4"/>
  <c r="G17" i="3"/>
  <c r="G36" i="2"/>
  <c r="G35" i="1"/>
  <c r="C18" i="5"/>
  <c r="D18" i="5"/>
  <c r="E18" i="5"/>
  <c r="F18" i="5"/>
  <c r="B18" i="5"/>
  <c r="B24" i="4"/>
  <c r="C24" i="4"/>
  <c r="D24" i="4"/>
  <c r="E24" i="4"/>
  <c r="F24" i="4"/>
  <c r="I15" i="5"/>
  <c r="I10" i="4"/>
  <c r="H8" i="1"/>
  <c r="I8" i="1" s="1"/>
  <c r="H9" i="1"/>
  <c r="I9" i="1" s="1"/>
  <c r="H10" i="1"/>
  <c r="I10" i="1" s="1"/>
  <c r="G30" i="2"/>
  <c r="H30" i="2" s="1"/>
  <c r="I30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H12" i="5"/>
  <c r="I12" i="5" s="1"/>
  <c r="H11" i="5"/>
  <c r="I11" i="5" s="1"/>
  <c r="H10" i="5"/>
  <c r="I10" i="5" s="1"/>
  <c r="H9" i="5"/>
  <c r="I9" i="5" s="1"/>
  <c r="H8" i="5"/>
  <c r="I23" i="4"/>
  <c r="H13" i="4"/>
  <c r="I13" i="4" s="1"/>
  <c r="H11" i="4"/>
  <c r="I11" i="4"/>
  <c r="H10" i="4"/>
  <c r="H9" i="4"/>
  <c r="I9" i="4" s="1"/>
  <c r="H8" i="4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I14" i="2" s="1"/>
  <c r="G12" i="2"/>
  <c r="G11" i="2"/>
  <c r="G10" i="2"/>
  <c r="G9" i="2"/>
  <c r="G8" i="2"/>
  <c r="N50" i="10" l="1"/>
  <c r="H10" i="2"/>
  <c r="I10" i="2" s="1"/>
  <c r="H9" i="2"/>
  <c r="H11" i="2"/>
  <c r="I11" i="2" s="1"/>
  <c r="H12" i="2"/>
  <c r="I12" i="2" s="1"/>
  <c r="E50" i="10"/>
  <c r="E11" i="10"/>
  <c r="T11" i="10" s="1"/>
  <c r="J26" i="10"/>
  <c r="O50" i="10"/>
  <c r="G50" i="10"/>
  <c r="B50" i="10"/>
  <c r="I50" i="10"/>
  <c r="E19" i="10"/>
  <c r="H50" i="10"/>
  <c r="L50" i="10"/>
  <c r="J50" i="10"/>
  <c r="M50" i="10"/>
  <c r="F50" i="10"/>
  <c r="E54" i="10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B20" i="5"/>
  <c r="K50" i="10"/>
  <c r="E9" i="10"/>
  <c r="T9" i="10" s="1"/>
  <c r="L26" i="10"/>
  <c r="P50" i="10"/>
  <c r="E17" i="10"/>
  <c r="T17" i="10" s="1"/>
  <c r="E33" i="1"/>
  <c r="E38" i="1" s="1"/>
  <c r="E20" i="5"/>
  <c r="E23" i="5" s="1"/>
  <c r="D41" i="10"/>
  <c r="D42" i="10"/>
  <c r="D43" i="10"/>
  <c r="D45" i="10"/>
  <c r="D49" i="10"/>
  <c r="B58" i="10" s="1"/>
  <c r="D20" i="5"/>
  <c r="C20" i="5"/>
  <c r="C26" i="4"/>
  <c r="D34" i="2"/>
  <c r="C34" i="2"/>
  <c r="B33" i="1"/>
  <c r="E15" i="3"/>
  <c r="E18" i="3" s="1"/>
  <c r="D15" i="3"/>
  <c r="B34" i="2"/>
  <c r="D33" i="1"/>
  <c r="C33" i="1"/>
  <c r="G13" i="1"/>
  <c r="G13" i="5"/>
  <c r="B26" i="4"/>
  <c r="H18" i="5"/>
  <c r="I18" i="5" s="1"/>
  <c r="G18" i="5"/>
  <c r="G12" i="4"/>
  <c r="E26" i="4"/>
  <c r="E29" i="4" s="1"/>
  <c r="D26" i="4"/>
  <c r="B15" i="3"/>
  <c r="C15" i="3"/>
  <c r="I13" i="3"/>
  <c r="G32" i="2"/>
  <c r="G13" i="2"/>
  <c r="E34" i="2"/>
  <c r="E37" i="2" s="1"/>
  <c r="H12" i="1"/>
  <c r="H32" i="2"/>
  <c r="I32" i="2" s="1"/>
  <c r="I8" i="5"/>
  <c r="H13" i="5"/>
  <c r="H12" i="4"/>
  <c r="I8" i="4"/>
  <c r="I18" i="1"/>
  <c r="H31" i="1"/>
  <c r="I31" i="1" s="1"/>
  <c r="I18" i="4"/>
  <c r="H24" i="4"/>
  <c r="I24" i="4" s="1"/>
  <c r="F53" i="10"/>
  <c r="G24" i="4"/>
  <c r="G26" i="10"/>
  <c r="C46" i="10"/>
  <c r="D46" i="10" s="1"/>
  <c r="H8" i="2"/>
  <c r="I8" i="2" s="1"/>
  <c r="I26" i="10"/>
  <c r="K26" i="10"/>
  <c r="E55" i="10" l="1"/>
  <c r="D50" i="10"/>
  <c r="B59" i="10" s="1"/>
  <c r="E26" i="10"/>
  <c r="T26" i="10"/>
  <c r="C6" i="10"/>
  <c r="G33" i="1"/>
  <c r="G38" i="1" s="1"/>
  <c r="G34" i="2"/>
  <c r="G37" i="2" s="1"/>
  <c r="G20" i="5"/>
  <c r="G23" i="5" s="1"/>
  <c r="G15" i="3"/>
  <c r="G18" i="3" s="1"/>
  <c r="H13" i="1"/>
  <c r="I13" i="1" s="1"/>
  <c r="I12" i="1"/>
  <c r="G26" i="4"/>
  <c r="G29" i="4" s="1"/>
  <c r="H13" i="2"/>
  <c r="H20" i="5"/>
  <c r="I13" i="5"/>
  <c r="G53" i="10"/>
  <c r="F55" i="10"/>
  <c r="D48" i="10"/>
  <c r="B57" i="10" s="1"/>
  <c r="I12" i="4"/>
  <c r="H26" i="4"/>
  <c r="I10" i="3"/>
  <c r="H15" i="3"/>
  <c r="B16" i="10" l="1"/>
  <c r="C16" i="10" s="1"/>
  <c r="B30" i="10"/>
  <c r="B15" i="10"/>
  <c r="C15" i="10" s="1"/>
  <c r="I13" i="2"/>
  <c r="H34" i="2"/>
  <c r="G55" i="10"/>
  <c r="H53" i="10"/>
  <c r="H55" i="10" l="1"/>
  <c r="I53" i="10"/>
  <c r="I55" i="10" l="1"/>
  <c r="J53" i="10"/>
  <c r="K53" i="10" l="1"/>
  <c r="J55" i="10"/>
  <c r="K55" i="10" l="1"/>
  <c r="L53" i="10"/>
  <c r="M53" i="10" l="1"/>
  <c r="L55" i="10"/>
  <c r="M55" i="10" l="1"/>
  <c r="N53" i="10"/>
  <c r="O53" i="10" l="1"/>
  <c r="N55" i="10"/>
  <c r="O55" i="10" l="1"/>
  <c r="P53" i="10"/>
  <c r="P55" i="10" s="1"/>
</calcChain>
</file>

<file path=xl/sharedStrings.xml><?xml version="1.0" encoding="utf-8"?>
<sst xmlns="http://schemas.openxmlformats.org/spreadsheetml/2006/main" count="276" uniqueCount="85">
  <si>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</si>
  <si>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</si>
  <si>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</si>
  <si>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</si>
  <si>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</si>
  <si>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</si>
  <si>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</si>
  <si>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</si>
  <si>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</si>
  <si>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</si>
  <si>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</si>
  <si>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</si>
  <si>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</si>
  <si>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</si>
  <si>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</si>
  <si>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</si>
  <si>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</si>
  <si>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</si>
  <si>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</si>
  <si>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</si>
  <si>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</si>
  <si>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</si>
  <si>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</si>
  <si>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</si>
  <si>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</si>
  <si>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</si>
  <si>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</si>
  <si>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</si>
  <si>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</si>
  <si>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</si>
  <si>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</si>
  <si>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</si>
  <si>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</si>
  <si>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</si>
  <si>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</si>
  <si>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</si>
  <si>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</si>
  <si>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</si>
  <si>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</si>
  <si>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</si>
  <si>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</si>
  <si>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</si>
  <si>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</si>
  <si>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</si>
  <si>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</si>
  <si>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</si>
  <si>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</si>
  <si>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</si>
  <si>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</si>
  <si>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</si>
  <si>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</si>
  <si>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</si>
  <si>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</si>
  <si>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</si>
  <si>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</si>
  <si>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</si>
  <si>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</si>
  <si>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</si>
  <si>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</si>
  <si>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</si>
  <si>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</si>
  <si>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</si>
  <si>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</si>
  <si>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</si>
  <si>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</si>
  <si>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</si>
  <si>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</si>
  <si>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</si>
  <si>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</si>
  <si>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</si>
  <si>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</si>
  <si>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</si>
  <si>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</si>
  <si>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</si>
  <si>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</si>
  <si>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GENERAL FUND (ROLLUP)</t>
  </si>
  <si>
    <t>FY2024 SPECIAL REVENUE (ROLLUP)</t>
  </si>
  <si>
    <t>FY2024 SCHOOL NUTRITION (ROLLUP)</t>
  </si>
  <si>
    <t>FY2024 CAPITAL PROJECTS (ROLLUP)</t>
  </si>
  <si>
    <t>FY2024 DEBT SERVICE (ROLLUP)</t>
  </si>
  <si>
    <t>FY2024 BUDGET CHARTS</t>
  </si>
  <si>
    <t xml:space="preserve">   SCHOOL SAFETY AND SECURITY</t>
  </si>
  <si>
    <t>TOTAL GENERAL OPERATIONS BUDGET
$1,481,461,561</t>
  </si>
  <si>
    <t>GENERAL OPERATIONS YTD EXPENSES
$1,363,725,477</t>
  </si>
  <si>
    <t>(LOCAL &amp; OTHER)  Budgeted: $930,818,788  Actual: $926,090,046  99.49%
(STATE)  Budgeted: $528,349,554  Actual: $535,308,714   101.32%
TOTAL Budgeted: $1,459,168,342  Actual: $1,461,398,761   100.15%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</si>
</sst>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73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40" fontId="3" fillId="0" borderId="13" xfId="0" applyNumberFormat="1" applyFont="1" applyBorder="1" applyAlignment="1">
      <alignment vertical="center"/>
    </xf>
    <xf numFmtId="40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0" fontId="3" fillId="0" borderId="8" xfId="0" applyNumberFormat="1" applyFont="1" applyBorder="1" applyAlignment="1">
      <alignment vertical="center"/>
    </xf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/>
    </xf>
    <xf numFmtId="10" fontId="2" fillId="3" borderId="10" xfId="1" applyNumberFormat="1" applyFont="1" applyFill="1" applyBorder="1" applyAlignment="1">
      <alignment horizontal="right" vertical="center"/>
    </xf>
    <xf numFmtId="40" fontId="0" fillId="0" borderId="36" xfId="0" applyNumberFormat="1" applyBorder="1"/>
    <xf numFmtId="40" fontId="0" fillId="0" borderId="5" xfId="0" applyNumberFormat="1" applyBorder="1"/>
    <xf numFmtId="40" fontId="0" fillId="0" borderId="8" xfId="0" applyNumberFormat="1" applyBorder="1"/>
    <xf numFmtId="38" fontId="6" fillId="0" borderId="0" xfId="2" applyNumberForma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FY2024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-5.2191008721703167E-2"/>
                  <c:y val="5.722492086111429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8430093429895988E-2"/>
                  <c:y val="-7.1448909044889861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117736083.88000798</c:v>
                </c:pt>
                <c:pt idx="1">
                  <c:v>1363725477.4800019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(2024)'!$B$28</c:f>
              <c:strCache>
                <c:ptCount val="1"/>
                <c:pt idx="0">
                  <c:v>TOTAL GENERAL OPERATIONS BUDGET
$1,481,461,561</c:v>
                </c:pt>
              </c:strCache>
            </c:strRef>
          </c:cat>
          <c:val>
            <c:numRef>
              <c:f>'DATA for CHARTS (2024)'!$C$28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(2024)'!$B$28</c:f>
              <c:strCache>
                <c:ptCount val="1"/>
                <c:pt idx="0">
                  <c:v>TOTAL GENERAL OPERATIONS BUDGET
$1,481,461,561</c:v>
                </c:pt>
              </c:strCache>
            </c:strRef>
          </c:cat>
          <c:val>
            <c:numRef>
              <c:f>'DATA for CHARTS (2024)'!$D$28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(2024)'!$B$28</c:f>
              <c:strCache>
                <c:ptCount val="1"/>
                <c:pt idx="0">
                  <c:v>TOTAL GENERAL OPERATIONS BUDGET
$1,481,461,561</c:v>
                </c:pt>
              </c:strCache>
            </c:strRef>
          </c:cat>
          <c:val>
            <c:numRef>
              <c:f>'DATA for CHARTS (2024)'!$E$28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(2024)'!$B$28</c:f>
              <c:strCache>
                <c:ptCount val="1"/>
                <c:pt idx="0">
                  <c:v>TOTAL GENERAL OPERATIONS BUDGET
$1,481,461,561</c:v>
                </c:pt>
              </c:strCache>
            </c:strRef>
          </c:cat>
          <c:val>
            <c:numRef>
              <c:f>'DATA for CHARTS (2024)'!$F$28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3.6321826371502865E-2"/>
                  <c:y val="-6.15131562979991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0660453802351919"/>
                  <c:y val="-0.1521294514539712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0966232029421598"/>
                  <c:y val="-7.07578263417204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13621441753080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054969633309376"/>
                  <c:y val="1.53215656497363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5155882345198315"/>
                  <c:y val="6.930340444564640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947282793261668"/>
                  <c:y val="0.1303001556773699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3233532618853963E-2"/>
                  <c:y val="9.45028899128692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0.10138894373408942"/>
                  <c:y val="4.423678215916537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2.7634188655204464E-2"/>
                  <c:y val="5.575614474874920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5.1986194804887101E-2"/>
                  <c:y val="5.51150590984580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3028397528543637"/>
                  <c:y val="0.117383233304555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0.14021597601202557"/>
                  <c:y val="-6.42480852376940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8923436977599464"/>
                  <c:y val="5.40891140258722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0.11665653127361086"/>
                  <c:y val="-1.29362693599892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9.2621170598408912E-3"/>
                  <c:y val="-0.11070859207328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0.16680856216944798"/>
                  <c:y val="-0.125875104449460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(2024)'!$E$9:$E$25</c:f>
              <c:numCache>
                <c:formatCode>#,##0_);[Red]\(#,##0\)</c:formatCode>
                <c:ptCount val="17"/>
                <c:pt idx="0">
                  <c:v>845620782.36000228</c:v>
                </c:pt>
                <c:pt idx="1">
                  <c:v>79723333.329999685</c:v>
                </c:pt>
                <c:pt idx="2">
                  <c:v>16544597.509999981</c:v>
                </c:pt>
                <c:pt idx="3">
                  <c:v>54887.79</c:v>
                </c:pt>
                <c:pt idx="4">
                  <c:v>14448066.639999993</c:v>
                </c:pt>
                <c:pt idx="5">
                  <c:v>46446539.899999976</c:v>
                </c:pt>
                <c:pt idx="6">
                  <c:v>81679760.890000001</c:v>
                </c:pt>
                <c:pt idx="7">
                  <c:v>16440098.620000001</c:v>
                </c:pt>
                <c:pt idx="8">
                  <c:v>153063642.64999998</c:v>
                </c:pt>
                <c:pt idx="9">
                  <c:v>0</c:v>
                </c:pt>
                <c:pt idx="10">
                  <c:v>72189365.090000004</c:v>
                </c:pt>
                <c:pt idx="11">
                  <c:v>33744072.199999996</c:v>
                </c:pt>
                <c:pt idx="12">
                  <c:v>1345755.4600000004</c:v>
                </c:pt>
                <c:pt idx="13">
                  <c:v>324926.8</c:v>
                </c:pt>
                <c:pt idx="14">
                  <c:v>548898.24</c:v>
                </c:pt>
                <c:pt idx="15">
                  <c:v>1550750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$1,481,461,561</c:v>
                </c:pt>
              </c:strCache>
            </c:strRef>
          </c:cat>
          <c:val>
            <c:numRef>
              <c:f>'DATA for CHARTS (2024)'!$C$28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$1,481,461,561</c:v>
                </c:pt>
              </c:strCache>
            </c:strRef>
          </c:cat>
          <c:val>
            <c:numRef>
              <c:f>'DATA for CHARTS (2024)'!$D$28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$1,481,461,561</c:v>
                </c:pt>
              </c:strCache>
            </c:strRef>
          </c:cat>
          <c:val>
            <c:numRef>
              <c:f>'DATA for CHARTS (2024)'!$E$28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$1,481,461,561</c:v>
                </c:pt>
              </c:strCache>
            </c:strRef>
          </c:cat>
          <c:val>
            <c:numRef>
              <c:f>'DATA for CHARTS (2024)'!$F$28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(2024)'!$I$30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(2024)'!$J$30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(2024)'!$K$30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(2024)'!$L$30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(2024)'!$I$30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(2024)'!$J$30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(2024)'!$K$30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$1,363,725,477</c:v>
                </c:pt>
              </c:strCache>
            </c:strRef>
          </c:cat>
          <c:val>
            <c:numRef>
              <c:f>'DATA for CHARTS (2024)'!$L$30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4"/>
          <c:order val="4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(2024)'!$E$9:$E$25</c:f>
              <c:numCache>
                <c:formatCode>#,##0_);[Red]\(#,##0\)</c:formatCode>
                <c:ptCount val="17"/>
                <c:pt idx="0">
                  <c:v>845620782.36000228</c:v>
                </c:pt>
                <c:pt idx="1">
                  <c:v>79723333.329999685</c:v>
                </c:pt>
                <c:pt idx="2">
                  <c:v>16544597.509999981</c:v>
                </c:pt>
                <c:pt idx="3">
                  <c:v>54887.79</c:v>
                </c:pt>
                <c:pt idx="4">
                  <c:v>14448066.639999993</c:v>
                </c:pt>
                <c:pt idx="5">
                  <c:v>46446539.899999976</c:v>
                </c:pt>
                <c:pt idx="6">
                  <c:v>81679760.890000001</c:v>
                </c:pt>
                <c:pt idx="7">
                  <c:v>16440098.620000001</c:v>
                </c:pt>
                <c:pt idx="8">
                  <c:v>153063642.64999998</c:v>
                </c:pt>
                <c:pt idx="9">
                  <c:v>0</c:v>
                </c:pt>
                <c:pt idx="10">
                  <c:v>72189365.090000004</c:v>
                </c:pt>
                <c:pt idx="11">
                  <c:v>33744072.199999996</c:v>
                </c:pt>
                <c:pt idx="12">
                  <c:v>1345755.4600000004</c:v>
                </c:pt>
                <c:pt idx="13">
                  <c:v>324926.8</c:v>
                </c:pt>
                <c:pt idx="14">
                  <c:v>548898.24</c:v>
                </c:pt>
                <c:pt idx="15">
                  <c:v>1550750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21599792"/>
        <c:axId val="821595088"/>
      </c:barChart>
      <c:valAx>
        <c:axId val="821595088"/>
        <c:scaling>
          <c:orientation val="minMax"/>
          <c:max val="8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599792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8215997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595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FY2024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(2024)'!$B$70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(2024)'!$B$71:$B$75</c:f>
              <c:numCache>
                <c:formatCode>#,##0_);[Red]\(#,##0\)</c:formatCode>
                <c:ptCount val="5"/>
                <c:pt idx="0">
                  <c:v>920385016.21000004</c:v>
                </c:pt>
                <c:pt idx="1">
                  <c:v>9000000</c:v>
                </c:pt>
                <c:pt idx="2">
                  <c:v>528349553.62</c:v>
                </c:pt>
                <c:pt idx="3">
                  <c:v>0</c:v>
                </c:pt>
                <c:pt idx="4">
                  <c:v>1433772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(2024)'!$C$70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(2024)'!$C$71:$C$75</c:f>
              <c:numCache>
                <c:formatCode>#,##0_);[Red]\(#,##0\)</c:formatCode>
                <c:ptCount val="5"/>
                <c:pt idx="0">
                  <c:v>896285265.60000002</c:v>
                </c:pt>
                <c:pt idx="1">
                  <c:v>23475343.82</c:v>
                </c:pt>
                <c:pt idx="2">
                  <c:v>535308714.20000005</c:v>
                </c:pt>
                <c:pt idx="3">
                  <c:v>6147132</c:v>
                </c:pt>
                <c:pt idx="4">
                  <c:v>182304.92999999996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(2024)'!$R$57</c:f>
              <c:strCache>
                <c:ptCount val="1"/>
                <c:pt idx="0">
                  <c:v>(LOCAL &amp; OTHER)  Budgeted: $930,818,788  Actual: $926,090,046  99.49%
(STATE)  Budgeted: $528,349,554  Actual: $535,308,714   101.32%
TOTAL Budgeted: $1,459,168,342  Actual: $1,461,398,761   100.15%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(2024)'!$R$57</c:f>
              <c:strCache>
                <c:ptCount val="1"/>
                <c:pt idx="0">
                  <c:v>(LOCAL &amp; OTHER)  Budgeted: $930,818,788  Actual: $926,090,046  99.49%
(STATE)  Budgeted: $528,349,554  Actual: $535,308,714   101.32%
TOTAL Budgeted: $1,459,168,342  Actual: $1,461,398,761   100.15%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1596656"/>
        <c:axId val="8215892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$926,090,046  99.49%
(STATE)  Budgeted: $528,349,554  Actual: $535,308,714   101.32%
TOTAL Budgeted: $1,459,168,342  Actual: $1,461,398,761   100.15%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$926,090,046  99.49%
(STATE)  Budgeted: $528,349,554  Actual: $535,308,714   101.32%
TOTAL Budgeted: $1,459,168,342  Actual: $1,461,398,761   100.15%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$926,090,046  99.49%
(STATE)  Budgeted: $528,349,554  Actual: $535,308,714   101.32%
TOTAL Budgeted: $1,459,168,342  Actual: $1,461,398,761   100.15%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$926,090,046  99.49%
(STATE)  Budgeted: $528,349,554  Actual: $535,308,714   101.32%
TOTAL Budgeted: $1,459,168,342  Actual: $1,461,398,761   100.15%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82159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589208"/>
        <c:crosses val="autoZero"/>
        <c:auto val="1"/>
        <c:lblAlgn val="ctr"/>
        <c:lblOffset val="500"/>
        <c:noMultiLvlLbl val="0"/>
      </c:catAx>
      <c:valAx>
        <c:axId val="82158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59665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4797779164265"/>
          <c:h val="0.17833678319932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8:$F$28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$1,481,461,561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$1,363,725,477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$1,483,111,561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$930,818,788  Actual: $926,090,046  99.49%</a:t>
          </a:r>
        </a:p>
        <a:p xmlns:a="http://schemas.openxmlformats.org/drawingml/2006/main">
          <a:pPr algn="ctr"/>
          <a:r>
            <a:rPr lang="en-US" sz="1100"/>
            <a:t>(STATE)  Budgeted: $528,349,554  Actual: $535,308,714   101.32%</a:t>
          </a:r>
        </a:p>
        <a:p xmlns:a="http://schemas.openxmlformats.org/drawingml/2006/main">
          <a:pPr algn="ctr"/>
          <a:r>
            <a:rPr lang="en-US" sz="1100"/>
            <a:t>TOTAL Budgeted: $1,459,168,342  Actual: $1,461,398,761   100.15%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0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28" bestFit="1" customWidth="1"/>
    <col min="3" max="3" width="21" style="28" bestFit="1" customWidth="1"/>
    <col min="4" max="4" width="14.42578125" style="28" bestFit="1" customWidth="1"/>
    <col min="5" max="5" width="16.140625" style="28" bestFit="1" customWidth="1"/>
    <col min="6" max="6" width="16.28515625" style="28" customWidth="1"/>
    <col min="7" max="7" width="16.140625" style="28" bestFit="1" customWidth="1"/>
    <col min="8" max="8" width="14.7109375" style="28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1" bestFit="1" customWidth="1"/>
    <col min="17" max="17" width="13.5703125" style="131" bestFit="1" customWidth="1"/>
    <col min="18" max="16384" width="9.140625" style="1"/>
  </cols>
  <sheetData>
    <row r="1" spans="1:23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L1" s="132"/>
      <c r="M1" s="132"/>
      <c r="N1" s="132"/>
      <c r="O1" s="132"/>
      <c r="P1" s="132"/>
    </row>
    <row r="2" spans="1:23" ht="18.75" x14ac:dyDescent="0.3">
      <c r="A2" s="159" t="s">
        <v>75</v>
      </c>
      <c r="B2" s="159"/>
      <c r="C2" s="159"/>
      <c r="D2" s="159"/>
      <c r="E2" s="159"/>
      <c r="F2" s="159"/>
      <c r="G2" s="159"/>
      <c r="H2" s="159"/>
      <c r="I2" s="159"/>
      <c r="L2" s="132"/>
      <c r="M2" s="132"/>
      <c r="N2" s="132"/>
      <c r="O2" s="132"/>
      <c r="P2" s="132"/>
    </row>
    <row r="3" spans="1:23" x14ac:dyDescent="0.25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L3" s="132"/>
      <c r="M3" s="132"/>
      <c r="N3" s="132"/>
      <c r="O3" s="132"/>
      <c r="P3" s="132"/>
    </row>
    <row r="4" spans="1:23" x14ac:dyDescent="0.25">
      <c r="A4" s="160">
        <v>45473</v>
      </c>
      <c r="B4" s="160"/>
      <c r="C4" s="160"/>
      <c r="D4" s="160"/>
      <c r="E4" s="160"/>
      <c r="F4" s="160"/>
      <c r="G4" s="160"/>
      <c r="H4" s="160"/>
      <c r="I4" s="160"/>
      <c r="L4" s="132"/>
      <c r="M4" s="132"/>
      <c r="N4" s="132"/>
      <c r="O4" s="132"/>
      <c r="P4" s="132"/>
    </row>
    <row r="5" spans="1:23" x14ac:dyDescent="0.25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L5" s="132"/>
      <c r="M5" s="132"/>
      <c r="N5" s="132"/>
      <c r="O5" s="132"/>
      <c r="P5" s="132"/>
    </row>
    <row r="6" spans="1:23" ht="15.75" thickBot="1" x14ac:dyDescent="0.3">
      <c r="A6" s="158"/>
      <c r="B6" s="158"/>
      <c r="C6" s="158"/>
      <c r="D6" s="158"/>
      <c r="E6" s="158"/>
      <c r="F6" s="158"/>
      <c r="G6" s="158"/>
      <c r="H6" s="158"/>
      <c r="I6" s="158"/>
      <c r="L6" s="132"/>
      <c r="M6" s="132"/>
      <c r="N6" s="132"/>
      <c r="O6" s="132"/>
      <c r="P6" s="132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2"/>
      <c r="M7" s="132"/>
      <c r="N7" s="132"/>
      <c r="O7" s="132"/>
      <c r="P7" s="132"/>
      <c r="Q7" s="132"/>
    </row>
    <row r="8" spans="1:23" s="5" customFormat="1" x14ac:dyDescent="0.2">
      <c r="A8" s="6" t="s">
        <v>8</v>
      </c>
      <c r="B8" s="7">
        <v>920399645.21000004</v>
      </c>
      <c r="C8" s="7">
        <v>920385016.21000004</v>
      </c>
      <c r="D8" s="7">
        <v>7632780.7999999998</v>
      </c>
      <c r="E8" s="7">
        <v>896285265.60000026</v>
      </c>
      <c r="F8" s="7">
        <v>0</v>
      </c>
      <c r="G8" s="7">
        <f t="shared" ref="G8:G30" si="0">SUM(E8:F8)</f>
        <v>896285265.60000026</v>
      </c>
      <c r="H8" s="7">
        <f t="shared" ref="H8:H12" si="1">C8-G8</f>
        <v>24099750.609999776</v>
      </c>
      <c r="I8" s="33">
        <f>IF(C8=0,"NA",H8/C8)</f>
        <v>2.6184423024658461E-2</v>
      </c>
      <c r="L8"/>
      <c r="M8" s="133"/>
      <c r="N8" s="133"/>
      <c r="O8" s="133"/>
      <c r="P8" s="133"/>
      <c r="Q8" s="133"/>
      <c r="S8" s="132"/>
      <c r="T8" s="132"/>
      <c r="U8" s="132"/>
      <c r="V8" s="132"/>
      <c r="W8" s="132"/>
    </row>
    <row r="9" spans="1:23" s="5" customFormat="1" x14ac:dyDescent="0.2">
      <c r="A9" s="6" t="s">
        <v>9</v>
      </c>
      <c r="B9" s="7">
        <v>9000000</v>
      </c>
      <c r="C9" s="7">
        <v>9000000</v>
      </c>
      <c r="D9" s="7">
        <v>2129027.21</v>
      </c>
      <c r="E9" s="7">
        <v>23475343.82</v>
      </c>
      <c r="F9" s="7">
        <v>0</v>
      </c>
      <c r="G9" s="7">
        <f>SUM(E9:F9)</f>
        <v>23475343.82</v>
      </c>
      <c r="H9" s="7">
        <f>C9-G9</f>
        <v>-14475343.82</v>
      </c>
      <c r="I9" s="33">
        <f t="shared" ref="I9:I30" si="2">IF(C9=0,"NA",H9/C9)</f>
        <v>-1.6083715355555557</v>
      </c>
      <c r="L9"/>
      <c r="M9" s="133"/>
      <c r="N9" s="133"/>
      <c r="O9" s="133"/>
      <c r="P9" s="133"/>
      <c r="Q9" s="133"/>
      <c r="S9" s="132"/>
      <c r="T9" s="132"/>
      <c r="U9" s="132"/>
      <c r="V9" s="132"/>
      <c r="W9" s="132"/>
    </row>
    <row r="10" spans="1:23" s="5" customFormat="1" x14ac:dyDescent="0.2">
      <c r="A10" s="6" t="s">
        <v>10</v>
      </c>
      <c r="B10" s="7">
        <v>523845317.62</v>
      </c>
      <c r="C10" s="7">
        <v>528349553.62</v>
      </c>
      <c r="D10" s="7">
        <v>56731316.719999999</v>
      </c>
      <c r="E10" s="7">
        <v>535308714.19999999</v>
      </c>
      <c r="F10" s="7">
        <v>0</v>
      </c>
      <c r="G10" s="7">
        <f t="shared" si="0"/>
        <v>535308714.19999999</v>
      </c>
      <c r="H10" s="7">
        <f t="shared" si="1"/>
        <v>-6959160.5799999833</v>
      </c>
      <c r="I10" s="33">
        <f t="shared" si="2"/>
        <v>-1.3171508393106652E-2</v>
      </c>
      <c r="L10"/>
      <c r="M10" s="133"/>
      <c r="N10" s="133"/>
      <c r="O10" s="133"/>
      <c r="P10" s="133"/>
      <c r="Q10" s="133"/>
      <c r="S10" s="132"/>
      <c r="T10" s="132"/>
      <c r="U10" s="132"/>
      <c r="V10" s="132"/>
      <c r="W10" s="132"/>
    </row>
    <row r="11" spans="1:23" s="5" customFormat="1" x14ac:dyDescent="0.2">
      <c r="A11" s="6" t="s">
        <v>74</v>
      </c>
      <c r="B11" s="7">
        <v>0</v>
      </c>
      <c r="C11" s="7">
        <v>0</v>
      </c>
      <c r="D11" s="7">
        <v>0</v>
      </c>
      <c r="E11" s="7">
        <v>6147132</v>
      </c>
      <c r="F11" s="7">
        <v>0</v>
      </c>
      <c r="G11" s="7">
        <f t="shared" ref="G11" si="3">SUM(E11:F11)</f>
        <v>6147132</v>
      </c>
      <c r="H11" s="7">
        <f t="shared" ref="H11" si="4">C11-G11</f>
        <v>-6147132</v>
      </c>
      <c r="I11" s="33" t="str">
        <f t="shared" ref="I11" si="5">IF(C11=0,"NA",H11/C11)</f>
        <v>NA</v>
      </c>
      <c r="L11"/>
      <c r="M11" s="133"/>
      <c r="N11" s="133"/>
      <c r="O11" s="133"/>
      <c r="P11" s="133"/>
      <c r="Q11" s="133"/>
      <c r="S11" s="132"/>
      <c r="T11" s="132"/>
      <c r="U11" s="132"/>
      <c r="V11" s="132"/>
      <c r="W11" s="132"/>
    </row>
    <row r="12" spans="1:23" s="5" customFormat="1" x14ac:dyDescent="0.2">
      <c r="A12" s="6" t="s">
        <v>11</v>
      </c>
      <c r="B12" s="7">
        <v>1433772</v>
      </c>
      <c r="C12" s="7">
        <v>1433772</v>
      </c>
      <c r="D12" s="7">
        <v>0</v>
      </c>
      <c r="E12" s="7">
        <v>182304.93</v>
      </c>
      <c r="F12" s="7">
        <v>0</v>
      </c>
      <c r="G12" s="7">
        <f t="shared" si="0"/>
        <v>182304.93</v>
      </c>
      <c r="H12" s="7">
        <f t="shared" si="1"/>
        <v>1251467.07</v>
      </c>
      <c r="I12" s="33">
        <f t="shared" si="2"/>
        <v>0.87284942794251807</v>
      </c>
      <c r="L12"/>
      <c r="M12" s="133"/>
      <c r="N12" s="133"/>
      <c r="O12" s="133"/>
      <c r="P12" s="133"/>
      <c r="Q12" s="133"/>
      <c r="S12" s="132"/>
      <c r="T12" s="132"/>
      <c r="U12" s="132"/>
      <c r="V12" s="132"/>
      <c r="W12" s="132"/>
    </row>
    <row r="13" spans="1:23" s="5" customFormat="1" ht="24.95" customHeight="1" x14ac:dyDescent="0.25">
      <c r="A13" s="10" t="s">
        <v>12</v>
      </c>
      <c r="B13" s="11">
        <f t="shared" ref="B13:H13" si="6">SUM(B8:B12)</f>
        <v>1454678734.8299999</v>
      </c>
      <c r="C13" s="11">
        <f t="shared" si="6"/>
        <v>1459168341.8299999</v>
      </c>
      <c r="D13" s="11">
        <f t="shared" si="6"/>
        <v>66493124.729999997</v>
      </c>
      <c r="E13" s="11">
        <f t="shared" si="6"/>
        <v>1461398760.5500004</v>
      </c>
      <c r="F13" s="11">
        <f t="shared" si="6"/>
        <v>0</v>
      </c>
      <c r="G13" s="11">
        <f t="shared" si="6"/>
        <v>1461398760.5500004</v>
      </c>
      <c r="H13" s="11">
        <f t="shared" si="6"/>
        <v>-2230418.7200002074</v>
      </c>
      <c r="I13" s="34">
        <f t="shared" si="2"/>
        <v>-1.5285547637381937E-3</v>
      </c>
      <c r="L13" s="1"/>
      <c r="M13" s="1"/>
      <c r="N13" s="1"/>
      <c r="O13" s="1"/>
      <c r="P13" s="131"/>
      <c r="Q13" s="1"/>
      <c r="R13" s="1"/>
      <c r="S13" s="1"/>
    </row>
    <row r="14" spans="1:23" s="5" customFormat="1" x14ac:dyDescent="0.25">
      <c r="A14" s="12" t="s">
        <v>13</v>
      </c>
      <c r="B14" s="13">
        <v>823739509.84001064</v>
      </c>
      <c r="C14" s="13">
        <v>831542860.02001143</v>
      </c>
      <c r="D14" s="13">
        <v>82231367.920000613</v>
      </c>
      <c r="E14" s="13">
        <v>845620782.36000216</v>
      </c>
      <c r="F14" s="13">
        <v>3375798.2500000061</v>
      </c>
      <c r="G14" s="13">
        <f t="shared" si="0"/>
        <v>848996580.61000216</v>
      </c>
      <c r="H14" s="13">
        <f t="shared" ref="H14:H30" si="7">C14-G14</f>
        <v>-17453720.589990735</v>
      </c>
      <c r="I14" s="33">
        <f t="shared" si="2"/>
        <v>-2.0989562209181502E-2</v>
      </c>
      <c r="L14" s="131"/>
      <c r="M14" s="131"/>
      <c r="N14" s="131"/>
      <c r="O14" s="131"/>
      <c r="P14" s="131"/>
      <c r="Q14" s="132"/>
      <c r="R14" s="132"/>
      <c r="S14" s="132"/>
      <c r="T14" s="132"/>
      <c r="U14" s="132"/>
      <c r="V14" s="132"/>
      <c r="W14" s="132"/>
    </row>
    <row r="15" spans="1:23" s="5" customFormat="1" x14ac:dyDescent="0.25">
      <c r="A15" s="6" t="s">
        <v>14</v>
      </c>
      <c r="B15" s="7">
        <v>93507172.169999838</v>
      </c>
      <c r="C15" s="7">
        <v>94816019.249999851</v>
      </c>
      <c r="D15" s="7">
        <v>7501192.3199999984</v>
      </c>
      <c r="E15" s="7">
        <v>79723333.330000043</v>
      </c>
      <c r="F15" s="7">
        <v>566541.92000000004</v>
      </c>
      <c r="G15" s="7">
        <f t="shared" si="0"/>
        <v>80289875.250000045</v>
      </c>
      <c r="H15" s="7">
        <f t="shared" si="7"/>
        <v>14526143.999999806</v>
      </c>
      <c r="I15" s="33">
        <f t="shared" si="2"/>
        <v>0.15320347885201718</v>
      </c>
      <c r="L15" s="131"/>
      <c r="M15" s="131"/>
      <c r="N15" s="131"/>
      <c r="O15" s="131"/>
      <c r="P15" s="131"/>
      <c r="Q15" s="132"/>
      <c r="R15" s="132"/>
      <c r="S15" s="132"/>
      <c r="T15" s="132"/>
      <c r="U15" s="132"/>
      <c r="V15" s="132"/>
      <c r="W15" s="132"/>
    </row>
    <row r="16" spans="1:23" s="5" customFormat="1" x14ac:dyDescent="0.25">
      <c r="A16" s="6" t="s">
        <v>15</v>
      </c>
      <c r="B16" s="7">
        <v>17696254.909999996</v>
      </c>
      <c r="C16" s="7">
        <v>18360154.519999988</v>
      </c>
      <c r="D16" s="7">
        <v>1653279.2599999995</v>
      </c>
      <c r="E16" s="7">
        <v>16544597.509999989</v>
      </c>
      <c r="F16" s="7">
        <v>149748.81</v>
      </c>
      <c r="G16" s="7">
        <f t="shared" si="0"/>
        <v>16694346.319999989</v>
      </c>
      <c r="H16" s="7">
        <f t="shared" si="7"/>
        <v>1665808.1999999993</v>
      </c>
      <c r="I16" s="33">
        <f t="shared" si="2"/>
        <v>9.0729530526848762E-2</v>
      </c>
      <c r="L16" s="131"/>
      <c r="M16" s="131"/>
      <c r="N16" s="131"/>
      <c r="O16" s="131"/>
      <c r="P16" s="131"/>
      <c r="Q16" s="132"/>
      <c r="R16" s="132"/>
      <c r="S16" s="132"/>
      <c r="T16" s="132"/>
      <c r="U16" s="132"/>
      <c r="V16" s="132"/>
      <c r="W16" s="132"/>
    </row>
    <row r="17" spans="1:23" s="5" customFormat="1" x14ac:dyDescent="0.2">
      <c r="A17" s="6" t="s">
        <v>16</v>
      </c>
      <c r="B17" s="7">
        <v>1041887.36</v>
      </c>
      <c r="C17" s="7">
        <v>1055027.3599999999</v>
      </c>
      <c r="D17" s="7">
        <v>0</v>
      </c>
      <c r="E17" s="7">
        <v>54887.790000000008</v>
      </c>
      <c r="F17" s="7">
        <v>0</v>
      </c>
      <c r="G17" s="7">
        <f t="shared" si="0"/>
        <v>54887.790000000008</v>
      </c>
      <c r="H17" s="7">
        <f t="shared" si="7"/>
        <v>1000139.5699999998</v>
      </c>
      <c r="I17" s="33">
        <f t="shared" si="2"/>
        <v>0.94797500796567014</v>
      </c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spans="1:23" s="5" customFormat="1" x14ac:dyDescent="0.2">
      <c r="A18" s="6" t="s">
        <v>17</v>
      </c>
      <c r="B18" s="7">
        <v>16806266.969999984</v>
      </c>
      <c r="C18" s="7">
        <v>16802873.449999992</v>
      </c>
      <c r="D18" s="7">
        <v>1463169.9599999974</v>
      </c>
      <c r="E18" s="7">
        <v>14448066.640000001</v>
      </c>
      <c r="F18" s="7">
        <v>33848.709999999992</v>
      </c>
      <c r="G18" s="7">
        <f t="shared" si="0"/>
        <v>14481915.350000001</v>
      </c>
      <c r="H18" s="7">
        <f t="shared" si="7"/>
        <v>2320958.0999999903</v>
      </c>
      <c r="I18" s="33">
        <f t="shared" si="2"/>
        <v>0.13812864251500934</v>
      </c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spans="1:23" s="5" customFormat="1" x14ac:dyDescent="0.2">
      <c r="A19" s="6" t="s">
        <v>18</v>
      </c>
      <c r="B19" s="7">
        <v>63460019.679999761</v>
      </c>
      <c r="C19" s="7">
        <v>61667390.829999775</v>
      </c>
      <c r="D19" s="7">
        <v>1941260.7600000005</v>
      </c>
      <c r="E19" s="7">
        <v>46446539.900000006</v>
      </c>
      <c r="F19" s="7">
        <v>490132.4</v>
      </c>
      <c r="G19" s="7">
        <f t="shared" si="0"/>
        <v>46936672.300000004</v>
      </c>
      <c r="H19" s="7">
        <f t="shared" si="7"/>
        <v>14730718.52999977</v>
      </c>
      <c r="I19" s="33">
        <f t="shared" si="2"/>
        <v>0.23887371156351264</v>
      </c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spans="1:23" s="5" customFormat="1" x14ac:dyDescent="0.2">
      <c r="A20" s="6" t="s">
        <v>19</v>
      </c>
      <c r="B20" s="7">
        <v>83936113.200001121</v>
      </c>
      <c r="C20" s="7">
        <v>83922113.200001121</v>
      </c>
      <c r="D20" s="7">
        <v>7245796.9399999985</v>
      </c>
      <c r="E20" s="7">
        <v>81679760.89000003</v>
      </c>
      <c r="F20" s="7">
        <v>261.95999999999998</v>
      </c>
      <c r="G20" s="7">
        <f t="shared" si="0"/>
        <v>81680022.850000024</v>
      </c>
      <c r="H20" s="7">
        <f t="shared" si="7"/>
        <v>2242090.3500010967</v>
      </c>
      <c r="I20" s="33">
        <f t="shared" si="2"/>
        <v>2.6716323797254748E-2</v>
      </c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spans="1:23" s="5" customFormat="1" x14ac:dyDescent="0.2">
      <c r="A21" s="6" t="s">
        <v>20</v>
      </c>
      <c r="B21" s="7">
        <v>27492238.539999999</v>
      </c>
      <c r="C21" s="7">
        <v>19705504.359999996</v>
      </c>
      <c r="D21" s="7">
        <v>1599961.21</v>
      </c>
      <c r="E21" s="7">
        <v>16440098.620000003</v>
      </c>
      <c r="F21" s="7">
        <v>724719.43999999983</v>
      </c>
      <c r="G21" s="7">
        <f t="shared" si="0"/>
        <v>17164818.060000002</v>
      </c>
      <c r="H21" s="7">
        <f t="shared" si="7"/>
        <v>2540686.2999999933</v>
      </c>
      <c r="I21" s="33">
        <f t="shared" si="2"/>
        <v>0.12893282270700498</v>
      </c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spans="1:23" s="5" customFormat="1" x14ac:dyDescent="0.2">
      <c r="A22" s="6" t="s">
        <v>70</v>
      </c>
      <c r="B22" s="7">
        <v>221490060.35000008</v>
      </c>
      <c r="C22" s="7">
        <v>213252566.9600001</v>
      </c>
      <c r="D22" s="7">
        <v>15344037.079999996</v>
      </c>
      <c r="E22" s="7">
        <v>153063642.64999986</v>
      </c>
      <c r="F22" s="7">
        <v>10457218.76</v>
      </c>
      <c r="G22" s="7">
        <f t="shared" si="0"/>
        <v>163520861.40999985</v>
      </c>
      <c r="H22" s="7">
        <f t="shared" si="7"/>
        <v>49731705.55000025</v>
      </c>
      <c r="I22" s="33">
        <f t="shared" si="2"/>
        <v>0.23320565965017648</v>
      </c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spans="1:23" s="5" customFormat="1" x14ac:dyDescent="0.2">
      <c r="A23" s="6" t="s">
        <v>81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ref="G23" si="8">SUM(E23:F23)</f>
        <v>0</v>
      </c>
      <c r="H23" s="7">
        <f t="shared" ref="H23" si="9">C23-G23</f>
        <v>0</v>
      </c>
      <c r="I23" s="33" t="str">
        <f t="shared" ref="I23" si="10">IF(C23=0,"NA",H23/C23)</f>
        <v>NA</v>
      </c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spans="1:23" s="5" customFormat="1" x14ac:dyDescent="0.2">
      <c r="A24" s="6" t="s">
        <v>21</v>
      </c>
      <c r="B24" s="7">
        <v>79886601</v>
      </c>
      <c r="C24" s="7">
        <v>91093074.169999987</v>
      </c>
      <c r="D24" s="7">
        <v>7929443.1200000029</v>
      </c>
      <c r="E24" s="7">
        <v>72189365.090000004</v>
      </c>
      <c r="F24" s="7">
        <v>9958707.1400000006</v>
      </c>
      <c r="G24" s="7">
        <f t="shared" si="0"/>
        <v>82148072.230000004</v>
      </c>
      <c r="H24" s="7">
        <f t="shared" si="7"/>
        <v>8945001.9399999827</v>
      </c>
      <c r="I24" s="33">
        <f t="shared" si="2"/>
        <v>9.8196290129660288E-2</v>
      </c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spans="1:23" s="5" customFormat="1" x14ac:dyDescent="0.2">
      <c r="A25" s="6" t="s">
        <v>22</v>
      </c>
      <c r="B25" s="7">
        <v>33141661.300000001</v>
      </c>
      <c r="C25" s="7">
        <v>37686220.870000005</v>
      </c>
      <c r="D25" s="7">
        <v>3995530.8900000015</v>
      </c>
      <c r="E25" s="7">
        <v>33744072.20000001</v>
      </c>
      <c r="F25" s="7">
        <v>404795.17</v>
      </c>
      <c r="G25" s="7">
        <f t="shared" si="0"/>
        <v>34148867.370000012</v>
      </c>
      <c r="H25" s="7">
        <f t="shared" si="7"/>
        <v>3537353.4999999925</v>
      </c>
      <c r="I25" s="33">
        <f t="shared" si="2"/>
        <v>9.3863311797758198E-2</v>
      </c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spans="1:23" s="5" customFormat="1" x14ac:dyDescent="0.25">
      <c r="A26" s="6" t="s">
        <v>23</v>
      </c>
      <c r="B26" s="7">
        <v>3431416.47</v>
      </c>
      <c r="C26" s="7">
        <v>3289790.72</v>
      </c>
      <c r="D26" s="7">
        <v>80718.289999999994</v>
      </c>
      <c r="E26" s="7">
        <v>1345755.4600000002</v>
      </c>
      <c r="F26" s="7">
        <v>0</v>
      </c>
      <c r="G26" s="7">
        <f t="shared" si="0"/>
        <v>1345755.4600000002</v>
      </c>
      <c r="H26" s="7">
        <f t="shared" si="7"/>
        <v>1944035.26</v>
      </c>
      <c r="I26" s="33">
        <f t="shared" si="2"/>
        <v>0.59092976589100477</v>
      </c>
      <c r="L26" s="1"/>
      <c r="M26" s="131"/>
      <c r="N26" s="131"/>
      <c r="O26" s="131"/>
      <c r="P26" s="131"/>
      <c r="Q26" s="131"/>
      <c r="R26" s="132"/>
      <c r="S26" s="132"/>
      <c r="T26" s="132"/>
      <c r="U26" s="132"/>
      <c r="V26" s="132"/>
      <c r="W26" s="132"/>
    </row>
    <row r="27" spans="1:23" s="5" customFormat="1" x14ac:dyDescent="0.25">
      <c r="A27" s="6" t="s">
        <v>29</v>
      </c>
      <c r="B27" s="7">
        <v>335000</v>
      </c>
      <c r="C27" s="7">
        <v>335000</v>
      </c>
      <c r="D27" s="7">
        <v>320127.55</v>
      </c>
      <c r="E27" s="7">
        <v>324926.80000000016</v>
      </c>
      <c r="F27" s="7">
        <v>0</v>
      </c>
      <c r="G27" s="7">
        <f t="shared" si="0"/>
        <v>324926.80000000016</v>
      </c>
      <c r="H27" s="7">
        <f t="shared" si="7"/>
        <v>10073.199999999837</v>
      </c>
      <c r="I27" s="33">
        <f t="shared" si="2"/>
        <v>3.0069253731342796E-2</v>
      </c>
      <c r="L27" s="1"/>
      <c r="M27" s="131"/>
      <c r="N27" s="131"/>
      <c r="O27" s="131"/>
      <c r="P27" s="131"/>
      <c r="Q27" s="131"/>
      <c r="R27" s="132"/>
      <c r="S27" s="132"/>
      <c r="T27" s="132"/>
      <c r="U27" s="132"/>
      <c r="V27" s="132"/>
      <c r="W27" s="132"/>
    </row>
    <row r="28" spans="1:23" s="5" customFormat="1" x14ac:dyDescent="0.25">
      <c r="A28" s="6" t="s">
        <v>30</v>
      </c>
      <c r="B28" s="7">
        <v>61672.05</v>
      </c>
      <c r="C28" s="7">
        <v>61672.05</v>
      </c>
      <c r="D28" s="7">
        <v>3387.27</v>
      </c>
      <c r="E28" s="7">
        <v>548898.24000000011</v>
      </c>
      <c r="F28" s="7">
        <v>0</v>
      </c>
      <c r="G28" s="7">
        <f t="shared" ref="G28" si="11">SUM(E28:F28)</f>
        <v>548898.24000000011</v>
      </c>
      <c r="H28" s="7">
        <f t="shared" ref="H28" si="12">C28-G28</f>
        <v>-487226.19000000012</v>
      </c>
      <c r="I28" s="33">
        <f t="shared" ref="I28" si="13">IF(C28=0,"NA",H28/C28)</f>
        <v>-7.9002755705380325</v>
      </c>
      <c r="K28" s="1"/>
      <c r="L28" s="1"/>
      <c r="M28" s="131"/>
      <c r="N28" s="131"/>
      <c r="O28" s="131"/>
      <c r="P28" s="131"/>
      <c r="Q28" s="131"/>
      <c r="R28" s="132"/>
      <c r="S28" s="132"/>
      <c r="T28" s="132"/>
      <c r="U28" s="132"/>
      <c r="V28" s="132"/>
      <c r="W28" s="132"/>
    </row>
    <row r="29" spans="1:23" s="5" customFormat="1" x14ac:dyDescent="0.25">
      <c r="A29" s="6" t="s">
        <v>25</v>
      </c>
      <c r="B29" s="7">
        <v>8341293.6000000006</v>
      </c>
      <c r="C29" s="7">
        <v>7871293.6000000006</v>
      </c>
      <c r="D29" s="7">
        <v>0</v>
      </c>
      <c r="E29" s="7">
        <v>1550750</v>
      </c>
      <c r="F29" s="7">
        <v>0</v>
      </c>
      <c r="G29" s="7">
        <f t="shared" si="0"/>
        <v>1550750</v>
      </c>
      <c r="H29" s="7">
        <f t="shared" si="7"/>
        <v>6320543.6000000006</v>
      </c>
      <c r="I29" s="33">
        <f t="shared" si="2"/>
        <v>0.80298663995966302</v>
      </c>
      <c r="K29" s="1"/>
      <c r="L29" s="131"/>
      <c r="M29" s="131"/>
      <c r="N29" s="131"/>
      <c r="O29" s="131"/>
      <c r="P29" s="1"/>
      <c r="Q29" s="1"/>
      <c r="R29" s="132"/>
      <c r="S29" s="132"/>
      <c r="T29" s="132"/>
      <c r="U29" s="132"/>
      <c r="V29" s="132"/>
      <c r="W29" s="132"/>
    </row>
    <row r="30" spans="1:23" s="5" customFormat="1" x14ac:dyDescent="0.25">
      <c r="A30" s="6" t="s">
        <v>24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0"/>
        <v>0</v>
      </c>
      <c r="H30" s="7">
        <f t="shared" si="7"/>
        <v>0</v>
      </c>
      <c r="I30" s="33" t="str">
        <f t="shared" si="2"/>
        <v>NA</v>
      </c>
      <c r="K30" s="1"/>
      <c r="L30" s="1"/>
      <c r="M30" s="1"/>
      <c r="N30" s="1"/>
      <c r="O30" s="1"/>
      <c r="P30" s="1"/>
      <c r="Q30" s="1"/>
      <c r="R30" s="1"/>
      <c r="S30" s="1"/>
      <c r="T30" s="132"/>
      <c r="V30" s="132"/>
      <c r="W30" s="132"/>
    </row>
    <row r="31" spans="1:23" s="5" customFormat="1" ht="24.95" customHeight="1" x14ac:dyDescent="0.25">
      <c r="A31" s="10" t="s">
        <v>26</v>
      </c>
      <c r="B31" s="11">
        <f t="shared" ref="B31:H31" si="14">SUM(B14:B30)</f>
        <v>1474367167.4400113</v>
      </c>
      <c r="C31" s="11">
        <f t="shared" si="14"/>
        <v>1481461561.3600121</v>
      </c>
      <c r="D31" s="11">
        <f t="shared" si="14"/>
        <v>131309272.5700006</v>
      </c>
      <c r="E31" s="11">
        <f t="shared" si="14"/>
        <v>1363725477.4800019</v>
      </c>
      <c r="F31" s="11">
        <f t="shared" si="14"/>
        <v>26161772.56000001</v>
      </c>
      <c r="G31" s="11">
        <f t="shared" si="14"/>
        <v>1389887250.0400021</v>
      </c>
      <c r="H31" s="11">
        <f t="shared" si="14"/>
        <v>91574311.320010155</v>
      </c>
      <c r="I31" s="34">
        <f>IF(C31=0,"NA",H31/C31)</f>
        <v>6.1813491290278945E-2</v>
      </c>
      <c r="L31" s="131"/>
      <c r="M31" s="1"/>
      <c r="N31" s="1"/>
      <c r="O31" s="1"/>
      <c r="P31" s="1"/>
      <c r="Q31" s="1"/>
      <c r="R31" s="1"/>
      <c r="S31" s="1"/>
      <c r="T31" s="1"/>
    </row>
    <row r="32" spans="1:23" s="5" customFormat="1" x14ac:dyDescent="0.25">
      <c r="A32" s="12"/>
      <c r="B32" s="13"/>
      <c r="C32" s="13"/>
      <c r="D32" s="13"/>
      <c r="E32" s="13"/>
      <c r="F32" s="13"/>
      <c r="G32" s="13"/>
      <c r="H32" s="13"/>
      <c r="I32" s="15"/>
      <c r="K32" s="1"/>
      <c r="L32" s="131"/>
      <c r="M32" s="1"/>
      <c r="N32" s="1"/>
      <c r="O32" s="1"/>
      <c r="P32" s="1"/>
      <c r="Q32" s="1"/>
      <c r="R32" s="1"/>
      <c r="S32" s="1"/>
      <c r="T32" s="1"/>
    </row>
    <row r="33" spans="1:21" s="5" customFormat="1" ht="24.95" customHeight="1" x14ac:dyDescent="0.25">
      <c r="A33" s="6" t="s">
        <v>27</v>
      </c>
      <c r="B33" s="7">
        <f>B13-B31</f>
        <v>-19688432.610011339</v>
      </c>
      <c r="C33" s="7">
        <f>C13-C31</f>
        <v>-22293219.530012131</v>
      </c>
      <c r="D33" s="7">
        <f>D13-D31</f>
        <v>-64816147.840000607</v>
      </c>
      <c r="E33" s="7">
        <f>E13-E31</f>
        <v>97673283.069998503</v>
      </c>
      <c r="F33" s="7"/>
      <c r="G33" s="7">
        <f>G13-G31</f>
        <v>71511510.509998322</v>
      </c>
      <c r="H33" s="7"/>
      <c r="I33" s="16"/>
      <c r="K33" s="1"/>
      <c r="L33" s="131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8"/>
      <c r="B34" s="9"/>
      <c r="C34" s="9"/>
      <c r="D34" s="9"/>
      <c r="E34" s="9"/>
      <c r="F34" s="9"/>
      <c r="G34" s="9"/>
      <c r="H34" s="9"/>
      <c r="I34" s="17"/>
      <c r="K34" s="1"/>
      <c r="L34" s="131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x14ac:dyDescent="0.25">
      <c r="A35" s="140" t="s">
        <v>67</v>
      </c>
      <c r="B35" s="20"/>
      <c r="C35" s="20"/>
      <c r="D35" s="20"/>
      <c r="E35" s="20">
        <v>412832666</v>
      </c>
      <c r="F35" s="20"/>
      <c r="G35" s="20">
        <f>E35</f>
        <v>412832666</v>
      </c>
      <c r="H35" s="20"/>
      <c r="I35" s="21"/>
      <c r="K35" s="1"/>
      <c r="L35" s="131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x14ac:dyDescent="0.25">
      <c r="A36" s="140" t="s">
        <v>68</v>
      </c>
      <c r="B36" s="20"/>
      <c r="C36" s="20"/>
      <c r="D36" s="20"/>
      <c r="E36" s="20">
        <v>45000000</v>
      </c>
      <c r="F36" s="20"/>
      <c r="G36" s="20">
        <f>E36</f>
        <v>45000000</v>
      </c>
      <c r="H36" s="20"/>
      <c r="I36" s="2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s="5" customFormat="1" ht="24.75" customHeight="1" x14ac:dyDescent="0.25">
      <c r="A37" s="18" t="s">
        <v>69</v>
      </c>
      <c r="B37" s="20"/>
      <c r="C37" s="20"/>
      <c r="D37" s="20"/>
      <c r="E37" s="20">
        <f>E35-E36</f>
        <v>367832666</v>
      </c>
      <c r="F37" s="20"/>
      <c r="G37" s="20">
        <f>E37</f>
        <v>367832666</v>
      </c>
      <c r="H37" s="20"/>
      <c r="I37" s="2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s="5" customFormat="1" ht="27.75" customHeight="1" thickBot="1" x14ac:dyDescent="0.3">
      <c r="A38" s="22" t="s">
        <v>28</v>
      </c>
      <c r="B38" s="24"/>
      <c r="C38" s="24"/>
      <c r="D38" s="24"/>
      <c r="E38" s="24">
        <f>+E37+E33</f>
        <v>465505949.0699985</v>
      </c>
      <c r="F38" s="24"/>
      <c r="G38" s="24">
        <f>+G37+G33</f>
        <v>439344176.50999832</v>
      </c>
      <c r="H38" s="24"/>
      <c r="I38" s="2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5"/>
      <c r="B39" s="31"/>
      <c r="C39" s="31"/>
      <c r="D39" s="31"/>
      <c r="E39" s="31"/>
      <c r="F39" s="31"/>
      <c r="G39" s="31"/>
      <c r="H39" s="31"/>
      <c r="I39" s="5"/>
      <c r="J39" s="5"/>
      <c r="M39" s="1"/>
      <c r="N39" s="1"/>
      <c r="O39" s="1"/>
      <c r="P39" s="1"/>
      <c r="Q39" s="1"/>
    </row>
    <row r="40" spans="1:21" x14ac:dyDescent="0.25">
      <c r="B40" s="131"/>
      <c r="C40" s="131"/>
      <c r="D40" s="131"/>
      <c r="E40" s="131"/>
      <c r="F40" s="131"/>
      <c r="G40" s="131"/>
      <c r="H40" s="131"/>
    </row>
    <row r="41" spans="1:21" x14ac:dyDescent="0.25">
      <c r="B41" s="131"/>
      <c r="C41" s="131"/>
      <c r="D41" s="131"/>
      <c r="E41" s="131"/>
      <c r="F41" s="131"/>
      <c r="G41" s="131"/>
      <c r="H41" s="131"/>
      <c r="I41" s="131"/>
      <c r="J41" s="131"/>
      <c r="K41" s="131"/>
    </row>
    <row r="42" spans="1:21" x14ac:dyDescent="0.25">
      <c r="B42" s="131"/>
      <c r="C42" s="131"/>
      <c r="D42" s="1"/>
      <c r="E42" s="1"/>
      <c r="F42" s="1"/>
      <c r="G42" s="1"/>
      <c r="H42" s="1"/>
    </row>
    <row r="43" spans="1:21" x14ac:dyDescent="0.25">
      <c r="B43" s="131"/>
      <c r="C43" s="131"/>
      <c r="D43" s="1"/>
      <c r="E43" s="1"/>
      <c r="F43" s="1"/>
      <c r="G43" s="1"/>
      <c r="H43" s="1"/>
    </row>
    <row r="44" spans="1:21" x14ac:dyDescent="0.25">
      <c r="B44" s="131"/>
      <c r="C44" s="131"/>
      <c r="D44" s="1"/>
      <c r="E44" s="1"/>
      <c r="F44" s="1"/>
      <c r="G44" s="1"/>
      <c r="H44" s="1"/>
    </row>
    <row r="45" spans="1:21" x14ac:dyDescent="0.25">
      <c r="B45" s="131"/>
      <c r="C45" s="131"/>
      <c r="D45" s="1"/>
      <c r="E45" s="1"/>
      <c r="F45" s="1"/>
      <c r="G45" s="1"/>
      <c r="H45" s="1"/>
    </row>
    <row r="46" spans="1:21" x14ac:dyDescent="0.25">
      <c r="B46" s="131"/>
      <c r="C46" s="131"/>
      <c r="D46" s="1"/>
      <c r="E46" s="1"/>
      <c r="F46" s="1"/>
      <c r="G46" s="1"/>
      <c r="H46" s="1"/>
    </row>
    <row r="47" spans="1:21" x14ac:dyDescent="0.25">
      <c r="B47" s="131"/>
      <c r="C47" s="131"/>
      <c r="D47" s="1"/>
      <c r="E47" s="1"/>
      <c r="F47" s="1"/>
      <c r="G47" s="1"/>
      <c r="H47" s="1"/>
    </row>
    <row r="48" spans="1:21" x14ac:dyDescent="0.25">
      <c r="B48" s="131"/>
      <c r="C48" s="131"/>
      <c r="D48" s="131"/>
      <c r="E48" s="131"/>
      <c r="F48" s="1"/>
      <c r="G48" s="1"/>
      <c r="H48" s="1"/>
    </row>
    <row r="49" spans="2:11" x14ac:dyDescent="0.25">
      <c r="B49" s="131"/>
      <c r="C49" s="131"/>
      <c r="D49" s="131"/>
      <c r="E49" s="131"/>
      <c r="F49" s="1"/>
      <c r="G49" s="1"/>
      <c r="H49" s="1"/>
    </row>
    <row r="50" spans="2:11" x14ac:dyDescent="0.25">
      <c r="B50" s="131"/>
      <c r="C50" s="131"/>
      <c r="D50" s="131"/>
      <c r="E50" s="131"/>
      <c r="F50" s="1"/>
      <c r="G50" s="1"/>
      <c r="H50" s="1"/>
    </row>
    <row r="51" spans="2:11" x14ac:dyDescent="0.25">
      <c r="B51" s="131"/>
      <c r="C51" s="131"/>
      <c r="D51" s="131"/>
      <c r="E51" s="131"/>
      <c r="F51" s="1"/>
      <c r="G51" s="1"/>
      <c r="H51" s="131"/>
      <c r="I51" s="131"/>
      <c r="J51" s="131"/>
      <c r="K51" s="131"/>
    </row>
    <row r="52" spans="2:11" x14ac:dyDescent="0.25">
      <c r="B52" s="131"/>
      <c r="C52" s="131"/>
      <c r="D52" s="131"/>
      <c r="E52" s="131"/>
      <c r="F52" s="131"/>
      <c r="G52" s="131"/>
      <c r="H52" s="1"/>
      <c r="I52" s="131"/>
      <c r="J52" s="131"/>
      <c r="K52" s="131"/>
    </row>
    <row r="53" spans="2:11" x14ac:dyDescent="0.25">
      <c r="B53" s="131"/>
      <c r="C53" s="131"/>
      <c r="D53" s="131"/>
      <c r="E53" s="131"/>
      <c r="F53" s="131"/>
      <c r="G53" s="131"/>
      <c r="H53" s="1"/>
      <c r="K53" s="131"/>
    </row>
    <row r="54" spans="2:11" x14ac:dyDescent="0.25">
      <c r="B54" s="131"/>
      <c r="C54" s="131"/>
      <c r="D54" s="131"/>
      <c r="E54" s="131"/>
      <c r="F54" s="131"/>
      <c r="G54" s="131"/>
      <c r="H54" s="131"/>
      <c r="I54" s="131"/>
      <c r="J54" s="131"/>
      <c r="K54" s="131"/>
    </row>
    <row r="55" spans="2:11" x14ac:dyDescent="0.25">
      <c r="B55" s="131"/>
      <c r="C55" s="131"/>
      <c r="D55" s="131"/>
      <c r="E55" s="131"/>
      <c r="F55" s="131"/>
      <c r="G55" s="131"/>
      <c r="H55" s="131"/>
      <c r="I55" s="131"/>
      <c r="J55" s="131"/>
    </row>
    <row r="56" spans="2:11" x14ac:dyDescent="0.25">
      <c r="B56" s="131"/>
      <c r="C56" s="131"/>
      <c r="D56" s="131"/>
      <c r="E56" s="131"/>
      <c r="F56" s="131"/>
      <c r="G56" s="131"/>
      <c r="H56" s="131"/>
      <c r="I56" s="131"/>
      <c r="J56" s="131"/>
    </row>
    <row r="57" spans="2:11" x14ac:dyDescent="0.25">
      <c r="B57" s="131"/>
      <c r="C57" s="131"/>
      <c r="D57" s="131"/>
      <c r="E57" s="131"/>
      <c r="F57" s="131"/>
      <c r="G57" s="131"/>
      <c r="H57" s="131"/>
      <c r="I57" s="131"/>
      <c r="J57" s="131"/>
    </row>
    <row r="58" spans="2:11" x14ac:dyDescent="0.25">
      <c r="B58" s="131"/>
      <c r="C58" s="131"/>
      <c r="D58" s="131"/>
      <c r="E58" s="131"/>
      <c r="F58" s="131"/>
      <c r="G58" s="131"/>
      <c r="H58" s="131"/>
      <c r="I58" s="131"/>
      <c r="J58" s="131"/>
    </row>
    <row r="59" spans="2:11" x14ac:dyDescent="0.25">
      <c r="B59" s="131"/>
      <c r="C59" s="131"/>
      <c r="D59" s="131"/>
      <c r="E59" s="131"/>
      <c r="F59" s="131"/>
      <c r="G59" s="131"/>
      <c r="H59" s="131"/>
      <c r="I59" s="131"/>
      <c r="J59" s="131"/>
    </row>
    <row r="60" spans="2:11" x14ac:dyDescent="0.25">
      <c r="B60" s="131"/>
      <c r="C60" s="131"/>
      <c r="D60" s="131"/>
      <c r="E60" s="131"/>
      <c r="F60" s="131"/>
      <c r="G60" s="131"/>
      <c r="H60" s="131"/>
      <c r="I60" s="131"/>
      <c r="J60" s="131"/>
    </row>
    <row r="61" spans="2:11" x14ac:dyDescent="0.25">
      <c r="B61" s="131"/>
      <c r="C61" s="131"/>
      <c r="D61" s="131"/>
      <c r="E61" s="131"/>
      <c r="F61" s="131"/>
      <c r="G61" s="131"/>
      <c r="H61" s="131"/>
      <c r="I61" s="131"/>
      <c r="J61" s="131"/>
    </row>
    <row r="62" spans="2:11" x14ac:dyDescent="0.25">
      <c r="B62" s="131"/>
      <c r="C62" s="131"/>
      <c r="D62" s="131"/>
      <c r="E62" s="131"/>
      <c r="F62" s="131"/>
      <c r="G62" s="131"/>
      <c r="H62" s="131"/>
      <c r="I62" s="131"/>
      <c r="J62" s="131"/>
    </row>
    <row r="63" spans="2:11" x14ac:dyDescent="0.25">
      <c r="B63" s="131"/>
      <c r="C63" s="131"/>
      <c r="D63" s="131"/>
      <c r="E63" s="131"/>
      <c r="F63" s="131"/>
      <c r="G63" s="131"/>
      <c r="H63" s="131"/>
      <c r="I63" s="131"/>
      <c r="J63" s="131"/>
    </row>
    <row r="64" spans="2:11" x14ac:dyDescent="0.25">
      <c r="B64" s="131"/>
      <c r="C64" s="131"/>
      <c r="D64" s="131"/>
      <c r="E64" s="131"/>
      <c r="F64" s="131"/>
      <c r="G64" s="131"/>
      <c r="H64" s="131"/>
      <c r="I64" s="131"/>
      <c r="J64" s="131"/>
    </row>
    <row r="65" spans="2:10" x14ac:dyDescent="0.25">
      <c r="B65" s="131"/>
      <c r="C65" s="131"/>
      <c r="D65" s="131"/>
      <c r="E65" s="131"/>
      <c r="F65" s="131"/>
      <c r="G65" s="131"/>
      <c r="H65" s="131"/>
      <c r="I65" s="131"/>
      <c r="J65" s="131"/>
    </row>
    <row r="66" spans="2:10" x14ac:dyDescent="0.25">
      <c r="B66" s="131"/>
      <c r="C66" s="131"/>
      <c r="D66" s="131"/>
      <c r="E66" s="131"/>
      <c r="F66" s="131"/>
      <c r="G66" s="131"/>
      <c r="H66" s="131"/>
      <c r="I66" s="131"/>
      <c r="J66" s="131"/>
    </row>
    <row r="67" spans="2:10" x14ac:dyDescent="0.25">
      <c r="B67" s="131"/>
      <c r="C67" s="131"/>
      <c r="D67" s="131"/>
      <c r="E67" s="131"/>
      <c r="F67" s="131"/>
      <c r="G67" s="131"/>
      <c r="H67" s="131"/>
      <c r="I67" s="131"/>
      <c r="J67" s="131"/>
    </row>
    <row r="68" spans="2:10" x14ac:dyDescent="0.25">
      <c r="B68" s="131"/>
      <c r="C68" s="131"/>
      <c r="D68" s="131"/>
      <c r="E68" s="131"/>
      <c r="F68" s="131"/>
      <c r="G68" s="131"/>
      <c r="H68" s="131"/>
      <c r="I68" s="131"/>
      <c r="J68" s="131"/>
    </row>
    <row r="69" spans="2:10" x14ac:dyDescent="0.25">
      <c r="B69" s="131"/>
      <c r="C69" s="131"/>
      <c r="D69" s="131"/>
      <c r="E69" s="131"/>
      <c r="F69" s="131"/>
      <c r="G69" s="131"/>
      <c r="H69" s="131"/>
      <c r="I69" s="131"/>
      <c r="J69" s="131"/>
    </row>
    <row r="70" spans="2:10" x14ac:dyDescent="0.25">
      <c r="B70" s="131"/>
      <c r="C70" s="131"/>
      <c r="D70" s="131"/>
      <c r="E70" s="131"/>
      <c r="F70" s="131"/>
      <c r="G70" s="131"/>
      <c r="H70" s="131"/>
      <c r="I70" s="131"/>
      <c r="J70" s="131"/>
    </row>
    <row r="71" spans="2:10" x14ac:dyDescent="0.25">
      <c r="B71" s="131"/>
      <c r="C71" s="131"/>
      <c r="D71" s="131"/>
      <c r="E71" s="131"/>
      <c r="F71" s="131"/>
      <c r="G71" s="131"/>
      <c r="H71" s="131"/>
      <c r="I71" s="131"/>
      <c r="J71" s="131"/>
    </row>
    <row r="72" spans="2:10" x14ac:dyDescent="0.25">
      <c r="B72" s="131"/>
      <c r="C72" s="131"/>
      <c r="D72" s="131"/>
      <c r="E72" s="131"/>
      <c r="F72" s="131"/>
      <c r="G72" s="131"/>
      <c r="H72" s="131"/>
      <c r="I72" s="131"/>
      <c r="J72" s="131"/>
    </row>
    <row r="73" spans="2:10" x14ac:dyDescent="0.25">
      <c r="B73" s="131"/>
      <c r="C73" s="131"/>
      <c r="D73" s="131"/>
      <c r="E73" s="131"/>
      <c r="F73" s="131"/>
      <c r="G73" s="131"/>
      <c r="H73" s="131"/>
      <c r="I73" s="131"/>
      <c r="J73" s="131"/>
    </row>
    <row r="74" spans="2:10" x14ac:dyDescent="0.25">
      <c r="B74" s="131"/>
      <c r="C74" s="131"/>
      <c r="D74" s="131"/>
      <c r="E74" s="131"/>
      <c r="F74" s="131"/>
      <c r="G74" s="131"/>
      <c r="H74" s="131"/>
      <c r="I74" s="131"/>
      <c r="J74" s="131"/>
    </row>
    <row r="75" spans="2:10" x14ac:dyDescent="0.25">
      <c r="B75" s="131"/>
      <c r="C75" s="131"/>
      <c r="D75" s="131"/>
      <c r="E75" s="131"/>
      <c r="F75" s="131"/>
      <c r="G75" s="131"/>
      <c r="H75" s="131"/>
      <c r="I75" s="131"/>
      <c r="J75" s="131"/>
    </row>
    <row r="76" spans="2:10" x14ac:dyDescent="0.25">
      <c r="B76" s="131"/>
    </row>
    <row r="77" spans="2:10" x14ac:dyDescent="0.25">
      <c r="B77" s="131"/>
    </row>
    <row r="78" spans="2:10" x14ac:dyDescent="0.25">
      <c r="B78" s="131"/>
    </row>
    <row r="79" spans="2:10" x14ac:dyDescent="0.25">
      <c r="B79" s="131"/>
    </row>
    <row r="80" spans="2:10" x14ac:dyDescent="0.25">
      <c r="B80" s="1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99"/>
  <sheetViews>
    <sheetView workbookViewId="0">
      <selection sqref="A1:G1"/>
    </sheetView>
  </sheetViews>
  <sheetFormatPr defaultRowHeight="12.75" x14ac:dyDescent="0.2"/>
  <cols>
    <col min="1" max="1" width="32.42578125" style="48" bestFit="1" customWidth="1"/>
    <col min="2" max="2" width="15.7109375" style="48" customWidth="1"/>
    <col min="3" max="3" width="18.7109375" style="48" customWidth="1"/>
    <col min="4" max="4" width="45.5703125" style="48" bestFit="1" customWidth="1"/>
    <col min="5" max="5" width="16.140625" style="48" customWidth="1"/>
    <col min="6" max="6" width="12.5703125" style="47" customWidth="1"/>
    <col min="7" max="7" width="13.42578125" style="47" bestFit="1" customWidth="1"/>
    <col min="8" max="8" width="14.42578125" style="47" bestFit="1" customWidth="1"/>
    <col min="9" max="9" width="16" style="47" bestFit="1" customWidth="1"/>
    <col min="10" max="17" width="13.42578125" style="47" bestFit="1" customWidth="1"/>
    <col min="18" max="18" width="69.140625" style="48" customWidth="1"/>
    <col min="19" max="20" width="17" style="93" customWidth="1"/>
    <col min="21" max="21" width="17" style="93" bestFit="1" customWidth="1"/>
    <col min="22" max="16384" width="9.140625" style="48"/>
  </cols>
  <sheetData>
    <row r="1" spans="1:21" ht="21" thickBot="1" x14ac:dyDescent="0.25">
      <c r="A1" s="164" t="s">
        <v>80</v>
      </c>
      <c r="B1" s="165"/>
      <c r="C1" s="165"/>
      <c r="D1" s="165"/>
      <c r="E1" s="165"/>
      <c r="F1" s="165"/>
      <c r="G1" s="166"/>
      <c r="H1" s="46"/>
    </row>
    <row r="2" spans="1:21" x14ac:dyDescent="0.2">
      <c r="A2" s="49"/>
      <c r="B2" s="46"/>
      <c r="C2" s="49"/>
      <c r="D2" s="49"/>
      <c r="E2" s="49"/>
      <c r="F2" s="46"/>
      <c r="G2" s="46"/>
    </row>
    <row r="3" spans="1:21" x14ac:dyDescent="0.2">
      <c r="A3" s="167" t="s">
        <v>35</v>
      </c>
      <c r="B3" s="168"/>
      <c r="C3" s="168"/>
      <c r="D3" s="168"/>
      <c r="E3" s="168"/>
      <c r="F3" s="168"/>
      <c r="G3" s="168"/>
    </row>
    <row r="4" spans="1:21" ht="13.5" thickBot="1" x14ac:dyDescent="0.25">
      <c r="A4" s="49"/>
      <c r="B4" s="46"/>
      <c r="C4" s="49"/>
      <c r="D4" s="49"/>
      <c r="E4" s="49"/>
      <c r="F4" s="46"/>
      <c r="G4" s="46"/>
    </row>
    <row r="5" spans="1:21" ht="26.25" thickBot="1" x14ac:dyDescent="0.25">
      <c r="B5" s="50" t="s">
        <v>36</v>
      </c>
      <c r="C5" s="51" t="s">
        <v>37</v>
      </c>
      <c r="D5" s="49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21" ht="13.5" thickBot="1" x14ac:dyDescent="0.25">
      <c r="A6" s="52" t="s">
        <v>38</v>
      </c>
      <c r="B6" s="53">
        <v>1481461561.3600099</v>
      </c>
      <c r="C6" s="54">
        <f>SUM(F26:Q26)</f>
        <v>1363725477.4800019</v>
      </c>
      <c r="D6" s="49"/>
      <c r="E6" s="49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21" ht="26.25" thickBot="1" x14ac:dyDescent="0.25">
      <c r="B7" s="46"/>
      <c r="C7" s="55"/>
      <c r="D7" s="56"/>
      <c r="E7" s="57" t="s">
        <v>39</v>
      </c>
      <c r="F7" s="58" t="s">
        <v>40</v>
      </c>
      <c r="G7" s="59" t="s">
        <v>41</v>
      </c>
      <c r="H7" s="59" t="s">
        <v>42</v>
      </c>
      <c r="I7" s="59" t="s">
        <v>43</v>
      </c>
      <c r="J7" s="59" t="s">
        <v>44</v>
      </c>
      <c r="K7" s="59" t="s">
        <v>45</v>
      </c>
      <c r="L7" s="59" t="s">
        <v>46</v>
      </c>
      <c r="M7" s="59" t="s">
        <v>47</v>
      </c>
      <c r="N7" s="59" t="s">
        <v>48</v>
      </c>
      <c r="O7" s="59" t="s">
        <v>49</v>
      </c>
      <c r="P7" s="59" t="s">
        <v>50</v>
      </c>
      <c r="Q7" s="60" t="s">
        <v>51</v>
      </c>
    </row>
    <row r="8" spans="1:21" x14ac:dyDescent="0.2">
      <c r="B8" s="47"/>
      <c r="C8" s="157"/>
      <c r="D8" s="49"/>
      <c r="E8" s="61"/>
      <c r="P8" s="48"/>
      <c r="Q8" s="48"/>
    </row>
    <row r="9" spans="1:21" x14ac:dyDescent="0.2">
      <c r="B9" s="47"/>
      <c r="D9" s="49" t="s">
        <v>13</v>
      </c>
      <c r="E9" s="62">
        <f>SUM(F9:Q9)</f>
        <v>845620782.36000228</v>
      </c>
      <c r="F9" s="47">
        <f>12213444.82+3580.9499999471</f>
        <v>12217025.769999947</v>
      </c>
      <c r="G9" s="47">
        <f>13942179.5599998+15081.1700010001</f>
        <v>13957260.7300008</v>
      </c>
      <c r="H9" s="47">
        <f>78000020.8899999+55524.2399992644+2200.76000028848</f>
        <v>78057745.889999449</v>
      </c>
      <c r="I9" s="47">
        <f>80943118.9000002+6502063.00999996+44552.2499997615</f>
        <v>87489734.159999922</v>
      </c>
      <c r="J9" s="47">
        <f>75266531.2699996+5435951.549999</f>
        <v>80702482.819998592</v>
      </c>
      <c r="K9" s="47">
        <f>80093282.9099997+540227.230000079</f>
        <v>80633510.139999777</v>
      </c>
      <c r="L9" s="47">
        <f>85962205.9600001+1027798.719998</f>
        <v>86990004.6799981</v>
      </c>
      <c r="M9" s="47">
        <f>67745494.69+12318412.2900022</f>
        <v>80063906.980002195</v>
      </c>
      <c r="N9" s="47">
        <f>82415233.8100004+355283.880000949</f>
        <v>82770517.690001354</v>
      </c>
      <c r="O9" s="47">
        <f>79282233.5499999+19934.3800046443</f>
        <v>79302167.930004537</v>
      </c>
      <c r="P9" s="48">
        <f>81205026.1599997+31.489997267723</f>
        <v>81205057.649996966</v>
      </c>
      <c r="Q9" s="93">
        <v>82231367.920000613</v>
      </c>
      <c r="R9" s="48" t="s">
        <v>13</v>
      </c>
      <c r="S9" s="93">
        <v>845620782.36000216</v>
      </c>
      <c r="T9" s="93">
        <f t="shared" ref="T9:T25" si="0">S9-E9</f>
        <v>0</v>
      </c>
      <c r="U9" s="93">
        <v>31.489997267722998</v>
      </c>
    </row>
    <row r="10" spans="1:21" x14ac:dyDescent="0.2">
      <c r="B10" s="47"/>
      <c r="D10" s="49" t="s">
        <v>14</v>
      </c>
      <c r="E10" s="62">
        <f t="shared" ref="E10:E25" si="1">SUM(F10:Q10)</f>
        <v>79723333.329999685</v>
      </c>
      <c r="F10" s="47">
        <f>924891.19+1130.54999999981</f>
        <v>926021.73999999976</v>
      </c>
      <c r="G10" s="47">
        <f>2100394.27+11528.7300000078</f>
        <v>2111923.0000000079</v>
      </c>
      <c r="H10" s="47">
        <f>7273282.58+4443.59999998658+1325.00000000745</f>
        <v>7279051.1799999941</v>
      </c>
      <c r="I10" s="47">
        <v>7506779.2599999988</v>
      </c>
      <c r="J10" s="47">
        <f>7964440.74999999+935.690000019967</f>
        <v>7965376.4400000097</v>
      </c>
      <c r="K10" s="47">
        <f>7813872.24999999+499688.799999997</f>
        <v>8313561.0499999868</v>
      </c>
      <c r="L10" s="47">
        <f>8481149.73999999-171909.629999965</f>
        <v>8309240.1100000255</v>
      </c>
      <c r="M10" s="47">
        <f>6832232.72999999+169523.379999973</f>
        <v>7001756.1099999631</v>
      </c>
      <c r="N10" s="47">
        <f>7752749.47999999-410900.989999898</f>
        <v>7341848.4900000924</v>
      </c>
      <c r="O10" s="47">
        <f>7379835.60999998+526.769999668002</f>
        <v>7380362.3799996478</v>
      </c>
      <c r="P10" s="48">
        <v>8086221.2499999823</v>
      </c>
      <c r="Q10" s="93">
        <v>7501192.3199999984</v>
      </c>
      <c r="R10" s="48" t="s">
        <v>14</v>
      </c>
      <c r="S10" s="93">
        <v>79723333.330000043</v>
      </c>
      <c r="T10" s="93">
        <f t="shared" si="0"/>
        <v>3.5762786865234375E-7</v>
      </c>
      <c r="U10" s="93">
        <v>3.5762786865234375E-7</v>
      </c>
    </row>
    <row r="11" spans="1:21" x14ac:dyDescent="0.2">
      <c r="B11" s="47"/>
      <c r="D11" s="49" t="s">
        <v>15</v>
      </c>
      <c r="E11" s="62">
        <f t="shared" si="1"/>
        <v>16544597.509999981</v>
      </c>
      <c r="F11" s="47">
        <f>846901.83+38204.7099999999</f>
        <v>885106.5399999998</v>
      </c>
      <c r="G11" s="47">
        <f>1988564.9-9578.92999999644</f>
        <v>1978985.9700000035</v>
      </c>
      <c r="H11" s="47">
        <f>1078797.48+307.200000001117+1051.5399999991</f>
        <v>1080156.2200000002</v>
      </c>
      <c r="I11" s="47">
        <f>1437144.85+6928.13000000175+701.389999998733</f>
        <v>1444774.3700000006</v>
      </c>
      <c r="J11" s="47">
        <f>1314636.6+2993.29999999795</f>
        <v>1317629.899999998</v>
      </c>
      <c r="K11" s="47">
        <f>1289602.63-5895.21000000461</f>
        <v>1283707.4199999953</v>
      </c>
      <c r="L11" s="47">
        <f>1660787.65-409.230000006034</f>
        <v>1660378.4199999939</v>
      </c>
      <c r="M11" s="47">
        <f>1081360.22+142115.190000001</f>
        <v>1223475.4100000011</v>
      </c>
      <c r="N11" s="47">
        <f>1440865.39-300576.630000023</f>
        <v>1140288.759999977</v>
      </c>
      <c r="O11" s="47">
        <f>1371824.04+4449.81000000983</f>
        <v>1376273.8500000099</v>
      </c>
      <c r="P11" s="48">
        <v>1500541.3900000008</v>
      </c>
      <c r="Q11" s="93">
        <v>1653279.2599999995</v>
      </c>
      <c r="R11" s="48" t="s">
        <v>15</v>
      </c>
      <c r="S11" s="93">
        <v>16544597.509999989</v>
      </c>
      <c r="T11" s="93">
        <f t="shared" si="0"/>
        <v>0</v>
      </c>
      <c r="U11" s="93">
        <v>0</v>
      </c>
    </row>
    <row r="12" spans="1:21" x14ac:dyDescent="0.2">
      <c r="B12" s="47"/>
      <c r="D12" s="49" t="s">
        <v>16</v>
      </c>
      <c r="E12" s="62">
        <f t="shared" si="1"/>
        <v>54887.79</v>
      </c>
      <c r="F12" s="47">
        <v>0</v>
      </c>
      <c r="G12" s="47">
        <v>0</v>
      </c>
      <c r="H12" s="47">
        <v>615.90000000000009</v>
      </c>
      <c r="I12" s="47">
        <v>2925.6</v>
      </c>
      <c r="J12" s="47">
        <v>12716.72</v>
      </c>
      <c r="K12" s="47">
        <v>1107.4000000000001</v>
      </c>
      <c r="L12" s="47">
        <v>0</v>
      </c>
      <c r="M12" s="47">
        <v>2955</v>
      </c>
      <c r="N12" s="47">
        <v>27449.74</v>
      </c>
      <c r="O12" s="47">
        <v>6867.43</v>
      </c>
      <c r="P12" s="48">
        <v>250</v>
      </c>
      <c r="Q12" s="93">
        <v>0</v>
      </c>
      <c r="R12" s="48" t="s">
        <v>16</v>
      </c>
      <c r="S12" s="93">
        <v>54887.790000000008</v>
      </c>
      <c r="T12" s="93">
        <f t="shared" si="0"/>
        <v>0</v>
      </c>
      <c r="U12" s="93">
        <v>0</v>
      </c>
    </row>
    <row r="13" spans="1:21" x14ac:dyDescent="0.2">
      <c r="B13" s="47"/>
      <c r="D13" s="49" t="s">
        <v>17</v>
      </c>
      <c r="E13" s="62">
        <f t="shared" si="1"/>
        <v>14448066.639999993</v>
      </c>
      <c r="F13" s="47">
        <v>98846.819999999963</v>
      </c>
      <c r="G13" s="47">
        <f>121124.5+296.990000000922</f>
        <v>121421.49000000092</v>
      </c>
      <c r="H13" s="47">
        <f>1471291.58+15673.8000000002</f>
        <v>1486965.3800000004</v>
      </c>
      <c r="I13" s="47">
        <f>1363350+11664.5400000018+56607.5399999907</f>
        <v>1431622.0799999926</v>
      </c>
      <c r="J13" s="47">
        <f>1335731.58+38315.4000000022</f>
        <v>1374046.9800000023</v>
      </c>
      <c r="K13" s="47">
        <f>1326952.38+109561.360000004</f>
        <v>1436513.7400000039</v>
      </c>
      <c r="L13" s="47">
        <v>1515408.71</v>
      </c>
      <c r="M13" s="47">
        <f>1396055.85+12.1499999985098</f>
        <v>1396067.9999999986</v>
      </c>
      <c r="N13" s="47">
        <f>1461207.65-7977.19999999925</f>
        <v>1453230.4500000007</v>
      </c>
      <c r="O13" s="47">
        <f>1338770.76+6703.00999999418</f>
        <v>1345473.7699999942</v>
      </c>
      <c r="P13" s="48">
        <v>1325299.2600000016</v>
      </c>
      <c r="Q13" s="93">
        <v>1463169.9599999974</v>
      </c>
      <c r="R13" s="48" t="s">
        <v>17</v>
      </c>
      <c r="S13" s="93">
        <v>14448066.640000001</v>
      </c>
      <c r="T13" s="93">
        <f t="shared" si="0"/>
        <v>0</v>
      </c>
      <c r="U13" s="93">
        <v>0</v>
      </c>
    </row>
    <row r="14" spans="1:21" x14ac:dyDescent="0.2">
      <c r="B14" s="47"/>
      <c r="D14" s="49" t="s">
        <v>18</v>
      </c>
      <c r="E14" s="62">
        <f t="shared" si="1"/>
        <v>46446539.899999976</v>
      </c>
      <c r="F14" s="47">
        <f>1033434.45+9553.50999999977</f>
        <v>1042987.9599999997</v>
      </c>
      <c r="G14" s="47">
        <f>1770620.04+3537.89999999944</f>
        <v>1774157.9399999995</v>
      </c>
      <c r="H14" s="47">
        <f>2010309.8+225.460000000894+2357.6799999997</f>
        <v>2012892.9400000006</v>
      </c>
      <c r="I14" s="47">
        <f>24481131.34+1590.55999999493+1826.17000000178</f>
        <v>24484548.069999997</v>
      </c>
      <c r="J14" s="47">
        <f>2252785.18+6479.38999999314</f>
        <v>2259264.5699999933</v>
      </c>
      <c r="K14" s="47">
        <f>2022450.86+5070.82000000774</f>
        <v>2027521.6800000079</v>
      </c>
      <c r="L14" s="47">
        <v>2723822.3200000012</v>
      </c>
      <c r="M14" s="47">
        <f>2421306.07+2442.21000000834</f>
        <v>2423748.2800000082</v>
      </c>
      <c r="N14" s="47">
        <f>1835908.6-574879.229999997</f>
        <v>1261029.3700000031</v>
      </c>
      <c r="O14" s="47">
        <f>2536935.65+5883.97999996691</f>
        <v>2542819.6299999668</v>
      </c>
      <c r="P14" s="48">
        <v>1952486.3800000001</v>
      </c>
      <c r="Q14" s="93">
        <v>1941260.7600000005</v>
      </c>
      <c r="R14" s="48" t="s">
        <v>18</v>
      </c>
      <c r="S14" s="93">
        <v>46446539.900000006</v>
      </c>
      <c r="T14" s="93">
        <f t="shared" si="0"/>
        <v>0</v>
      </c>
      <c r="U14" s="93">
        <v>0</v>
      </c>
    </row>
    <row r="15" spans="1:21" x14ac:dyDescent="0.2">
      <c r="A15" s="63" t="s">
        <v>52</v>
      </c>
      <c r="B15" s="124">
        <f>B6-C6</f>
        <v>117736083.88000798</v>
      </c>
      <c r="C15" s="64">
        <f>B15/$B$6</f>
        <v>7.9472925218474127E-2</v>
      </c>
      <c r="D15" s="49" t="s">
        <v>19</v>
      </c>
      <c r="E15" s="62">
        <f t="shared" si="1"/>
        <v>81679760.890000001</v>
      </c>
      <c r="F15" s="47">
        <v>2728240.7999999961</v>
      </c>
      <c r="G15" s="47">
        <v>6738063.0299998978</v>
      </c>
      <c r="H15" s="47">
        <v>7179415.1900000004</v>
      </c>
      <c r="I15" s="47">
        <v>7185895.7900000056</v>
      </c>
      <c r="J15" s="47">
        <v>7028313.1000000136</v>
      </c>
      <c r="K15" s="47">
        <v>7361592.4500000048</v>
      </c>
      <c r="L15" s="47">
        <v>9253961.0799999963</v>
      </c>
      <c r="M15" s="47">
        <f>6814553.17+235904.610000074</f>
        <v>7050457.7800000738</v>
      </c>
      <c r="N15" s="47">
        <f>7006679.84000001-1197337.60000001</f>
        <v>5809342.2400000002</v>
      </c>
      <c r="O15" s="47">
        <v>7045508.5800000038</v>
      </c>
      <c r="P15" s="48">
        <v>7053173.9100000057</v>
      </c>
      <c r="Q15" s="93">
        <v>7245796.9399999985</v>
      </c>
      <c r="R15" s="48" t="s">
        <v>19</v>
      </c>
      <c r="S15" s="93">
        <v>81679760.89000003</v>
      </c>
      <c r="T15" s="93">
        <f t="shared" si="0"/>
        <v>0</v>
      </c>
      <c r="U15" s="93">
        <v>0</v>
      </c>
    </row>
    <row r="16" spans="1:21" x14ac:dyDescent="0.2">
      <c r="A16" s="63" t="s">
        <v>53</v>
      </c>
      <c r="B16" s="124">
        <f>C6</f>
        <v>1363725477.4800019</v>
      </c>
      <c r="C16" s="64">
        <f>B16/$B$6</f>
        <v>0.92052707478152584</v>
      </c>
      <c r="D16" s="49" t="s">
        <v>20</v>
      </c>
      <c r="E16" s="62">
        <f t="shared" si="1"/>
        <v>16440098.620000001</v>
      </c>
      <c r="F16" s="47">
        <f>853765.21+939.729999999515</f>
        <v>854704.93999999948</v>
      </c>
      <c r="G16" s="47">
        <f>1525647.01+2768.17000000318</f>
        <v>1528415.1800000032</v>
      </c>
      <c r="H16" s="47">
        <f>1130009.31+302.139999999664</f>
        <v>1130311.4499999997</v>
      </c>
      <c r="I16" s="47">
        <f>910915.88+69144.0599999949+1346.62000000197</f>
        <v>981406.55999999691</v>
      </c>
      <c r="J16" s="47">
        <f>872032.7+136584.229999999</f>
        <v>1008616.929999999</v>
      </c>
      <c r="K16" s="47">
        <f>1032844.14+185763.550000003</f>
        <v>1218607.690000003</v>
      </c>
      <c r="L16" s="47">
        <f>2648906.76+216592.560000001</f>
        <v>2865499.3200000008</v>
      </c>
      <c r="M16" s="47">
        <f>1275998.91+7484.57999999448</f>
        <v>1283483.4899999944</v>
      </c>
      <c r="N16" s="47">
        <f>1383644.1-250835.819999997</f>
        <v>1132808.2800000031</v>
      </c>
      <c r="O16" s="47">
        <f>1340956.9+68428.8500000015</f>
        <v>1409385.7500000014</v>
      </c>
      <c r="P16" s="48">
        <v>1426897.8200000003</v>
      </c>
      <c r="Q16" s="93">
        <v>1599961.21</v>
      </c>
      <c r="R16" s="48" t="s">
        <v>20</v>
      </c>
      <c r="S16" s="93">
        <v>16440098.620000003</v>
      </c>
      <c r="T16" s="93">
        <f t="shared" si="0"/>
        <v>0</v>
      </c>
      <c r="U16" s="93">
        <v>0</v>
      </c>
    </row>
    <row r="17" spans="1:21" x14ac:dyDescent="0.2">
      <c r="A17" s="49"/>
      <c r="B17" s="46"/>
      <c r="C17" s="49"/>
      <c r="D17" s="65" t="s">
        <v>54</v>
      </c>
      <c r="E17" s="62">
        <f t="shared" si="1"/>
        <v>153063642.64999998</v>
      </c>
      <c r="F17" s="47">
        <f>7984064.69+7975.93999999389</f>
        <v>7992040.6299999943</v>
      </c>
      <c r="G17" s="47">
        <f>16073176.09+291.480000004172</f>
        <v>16073467.570000004</v>
      </c>
      <c r="H17" s="47">
        <f>16514002.63+14678.1899999678+825.219999998807</f>
        <v>16529506.039999967</v>
      </c>
      <c r="I17" s="47">
        <f>9344994.87-637009.29999999+61072.6500000208</f>
        <v>8769058.2200000305</v>
      </c>
      <c r="J17" s="47">
        <f>14843475.62+37570.399999991</f>
        <v>14881046.01999999</v>
      </c>
      <c r="K17" s="47">
        <f>12017707.84+124553.900000125</f>
        <v>12142261.740000125</v>
      </c>
      <c r="L17" s="47">
        <v>15346099.940000005</v>
      </c>
      <c r="M17" s="47">
        <f>12937486.62+484.619999974966</f>
        <v>12937971.239999974</v>
      </c>
      <c r="N17" s="47">
        <f>12171602.89-2154405.61000003</f>
        <v>10017197.279999971</v>
      </c>
      <c r="O17" s="47">
        <f>11511222.82-384100.950000077</f>
        <v>11127121.869999923</v>
      </c>
      <c r="P17" s="48">
        <v>11903835.020000007</v>
      </c>
      <c r="Q17" s="93">
        <v>15344037.079999996</v>
      </c>
      <c r="R17" s="48" t="s">
        <v>54</v>
      </c>
      <c r="S17" s="93">
        <v>153063642.64999986</v>
      </c>
      <c r="T17" s="93">
        <f t="shared" si="0"/>
        <v>0</v>
      </c>
      <c r="U17" s="93">
        <v>0</v>
      </c>
    </row>
    <row r="18" spans="1:21" x14ac:dyDescent="0.2">
      <c r="A18" s="49"/>
      <c r="B18" s="46"/>
      <c r="C18" s="49"/>
      <c r="D18" s="65" t="s">
        <v>81</v>
      </c>
      <c r="E18" s="62">
        <f t="shared" si="1"/>
        <v>0</v>
      </c>
      <c r="P18" s="48"/>
      <c r="Q18" s="93">
        <v>0</v>
      </c>
      <c r="S18" s="93">
        <v>0</v>
      </c>
      <c r="T18" s="93">
        <f t="shared" ref="T18:T25" si="2">S18-E18</f>
        <v>0</v>
      </c>
      <c r="U18" s="93">
        <v>1</v>
      </c>
    </row>
    <row r="19" spans="1:21" x14ac:dyDescent="0.2">
      <c r="B19" s="66"/>
      <c r="C19" s="49"/>
      <c r="D19" s="49" t="s">
        <v>21</v>
      </c>
      <c r="E19" s="62">
        <f t="shared" si="1"/>
        <v>72189365.090000004</v>
      </c>
      <c r="F19" s="47">
        <v>2493217.9699999997</v>
      </c>
      <c r="G19" s="47">
        <f>3060293.28+411.899999998509</f>
        <v>3060705.1799999983</v>
      </c>
      <c r="H19" s="47">
        <f>5651796.73-14082.3099999912</f>
        <v>5637714.4200000092</v>
      </c>
      <c r="I19" s="47">
        <f>6615062.61-7350.78000000491+1698.44999999552</f>
        <v>6609410.2799999909</v>
      </c>
      <c r="J19" s="47">
        <f>6312539.29+1770.16000001505</f>
        <v>6314309.4500000151</v>
      </c>
      <c r="K19" s="47">
        <f>6183423.02-1104.25</f>
        <v>6182318.7699999996</v>
      </c>
      <c r="L19" s="47">
        <v>7795964.9899999993</v>
      </c>
      <c r="M19" s="47">
        <f>7040460.37+312180.070000023</f>
        <v>7352640.4400000228</v>
      </c>
      <c r="N19" s="47">
        <f>6935051.32-361261.600000039</f>
        <v>6573789.7199999616</v>
      </c>
      <c r="O19" s="47">
        <f>5750392+1320.20000001788</f>
        <v>5751712.2000000179</v>
      </c>
      <c r="P19" s="48">
        <v>6488138.549999998</v>
      </c>
      <c r="Q19" s="93">
        <v>7929443.1200000029</v>
      </c>
      <c r="R19" s="48" t="s">
        <v>21</v>
      </c>
      <c r="S19" s="93">
        <v>72189365.090000004</v>
      </c>
      <c r="T19" s="93">
        <f t="shared" si="2"/>
        <v>0</v>
      </c>
      <c r="U19" s="93">
        <v>2</v>
      </c>
    </row>
    <row r="20" spans="1:21" x14ac:dyDescent="0.2">
      <c r="A20" s="49"/>
      <c r="B20" s="46"/>
      <c r="C20" s="49"/>
      <c r="D20" s="49" t="s">
        <v>22</v>
      </c>
      <c r="E20" s="62">
        <f t="shared" si="1"/>
        <v>33744072.199999996</v>
      </c>
      <c r="F20" s="47">
        <f>1964459.35-5472.81999999936</f>
        <v>1958986.5300000007</v>
      </c>
      <c r="G20" s="47">
        <f>2685579.75-17602.1600000029</f>
        <v>2667977.5899999971</v>
      </c>
      <c r="H20" s="47">
        <f>3093989.68-7942.72999999485+1216.96000000089</f>
        <v>3087263.9100000062</v>
      </c>
      <c r="I20" s="47">
        <f>3477469.97+2136.98999999277+1944.40000000968</f>
        <v>3481551.3600000027</v>
      </c>
      <c r="J20" s="47">
        <f>2582019.03-18820.4800000041</f>
        <v>2563198.5499999956</v>
      </c>
      <c r="K20" s="47">
        <f>2570635.33+4648.57999999448</f>
        <v>2575283.9099999946</v>
      </c>
      <c r="L20" s="47">
        <v>3479854.2900000024</v>
      </c>
      <c r="M20" s="47">
        <f>2671104.31-8446.90999998897</f>
        <v>2662657.4000000111</v>
      </c>
      <c r="N20" s="47">
        <f>2699138-812001.70000001</f>
        <v>1887136.29999999</v>
      </c>
      <c r="O20" s="47">
        <f>2285677.86-14467.2500000037</f>
        <v>2271210.6099999961</v>
      </c>
      <c r="P20" s="48">
        <v>3113420.86</v>
      </c>
      <c r="Q20" s="93">
        <v>3995530.8900000015</v>
      </c>
      <c r="R20" s="48" t="s">
        <v>22</v>
      </c>
      <c r="S20" s="93">
        <v>33744072.20000001</v>
      </c>
      <c r="T20" s="93">
        <f t="shared" si="2"/>
        <v>0</v>
      </c>
      <c r="U20" s="93">
        <v>3</v>
      </c>
    </row>
    <row r="21" spans="1:21" x14ac:dyDescent="0.2">
      <c r="A21" s="49"/>
      <c r="B21" s="46"/>
      <c r="C21" s="49"/>
      <c r="D21" s="49" t="s">
        <v>23</v>
      </c>
      <c r="E21" s="62">
        <f t="shared" si="1"/>
        <v>1345755.4600000004</v>
      </c>
      <c r="F21" s="47">
        <v>13353.82</v>
      </c>
      <c r="G21" s="47">
        <v>48397.18</v>
      </c>
      <c r="H21" s="47">
        <v>125035.29000000001</v>
      </c>
      <c r="I21" s="47">
        <v>124228.82</v>
      </c>
      <c r="J21" s="47">
        <v>150383.50999999998</v>
      </c>
      <c r="K21" s="47">
        <v>125133.81999999999</v>
      </c>
      <c r="L21" s="47">
        <v>145099.01</v>
      </c>
      <c r="M21" s="47">
        <f>146086.67+25547.6</f>
        <v>171634.27000000002</v>
      </c>
      <c r="N21" s="47">
        <f>123451.69-12333.4199999996</f>
        <v>111118.2700000004</v>
      </c>
      <c r="O21" s="47">
        <v>108496.64</v>
      </c>
      <c r="P21" s="48">
        <v>142156.54</v>
      </c>
      <c r="Q21" s="93">
        <v>80718.289999999994</v>
      </c>
      <c r="R21" s="48" t="s">
        <v>23</v>
      </c>
      <c r="S21" s="93">
        <v>1345755.4600000002</v>
      </c>
      <c r="T21" s="93">
        <f t="shared" si="2"/>
        <v>0</v>
      </c>
      <c r="U21" s="93">
        <v>4</v>
      </c>
    </row>
    <row r="22" spans="1:21" x14ac:dyDescent="0.2">
      <c r="A22" s="49"/>
      <c r="B22" s="46"/>
      <c r="C22" s="49"/>
      <c r="D22" s="49" t="s">
        <v>29</v>
      </c>
      <c r="E22" s="62">
        <f t="shared" si="1"/>
        <v>324926.8</v>
      </c>
      <c r="F22" s="47">
        <v>0</v>
      </c>
      <c r="G22" s="47">
        <v>0</v>
      </c>
      <c r="H22" s="47">
        <v>4799.2499999999973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8">
        <v>0</v>
      </c>
      <c r="Q22" s="93">
        <v>320127.55</v>
      </c>
      <c r="R22" s="48" t="s">
        <v>29</v>
      </c>
      <c r="S22" s="93">
        <v>324926.80000000016</v>
      </c>
      <c r="T22" s="93">
        <f t="shared" si="2"/>
        <v>0</v>
      </c>
      <c r="U22" s="93">
        <v>5</v>
      </c>
    </row>
    <row r="23" spans="1:21" x14ac:dyDescent="0.2">
      <c r="A23" s="49"/>
      <c r="B23" s="46"/>
      <c r="C23" s="49"/>
      <c r="D23" s="49" t="s">
        <v>30</v>
      </c>
      <c r="E23" s="62">
        <f t="shared" si="1"/>
        <v>548898.24</v>
      </c>
      <c r="F23" s="47">
        <v>0</v>
      </c>
      <c r="G23" s="47">
        <v>0</v>
      </c>
      <c r="H23" s="47">
        <v>0</v>
      </c>
      <c r="I23" s="47">
        <v>0</v>
      </c>
      <c r="J23" s="47">
        <f>87102.3+42155.84</f>
        <v>129258.14</v>
      </c>
      <c r="K23" s="47">
        <v>80494.52</v>
      </c>
      <c r="L23" s="47">
        <f>165444.9+3251.72999999998</f>
        <v>168696.62999999998</v>
      </c>
      <c r="M23" s="47">
        <v>75139.42</v>
      </c>
      <c r="N23" s="47">
        <f>76026.49-73136.42</f>
        <v>2890.070000000007</v>
      </c>
      <c r="O23" s="47">
        <v>63491.41</v>
      </c>
      <c r="P23" s="48">
        <v>25540.78</v>
      </c>
      <c r="Q23" s="93">
        <v>3387.27</v>
      </c>
      <c r="R23" s="48" t="s">
        <v>30</v>
      </c>
      <c r="S23" s="93">
        <v>548898.24000000011</v>
      </c>
      <c r="T23" s="93">
        <f t="shared" si="2"/>
        <v>0</v>
      </c>
      <c r="U23" s="93">
        <v>6</v>
      </c>
    </row>
    <row r="24" spans="1:21" x14ac:dyDescent="0.2">
      <c r="A24" s="49"/>
      <c r="B24" s="46"/>
      <c r="C24" s="49"/>
      <c r="D24" s="49" t="s">
        <v>25</v>
      </c>
      <c r="E24" s="62">
        <f t="shared" si="1"/>
        <v>1550750</v>
      </c>
      <c r="F24" s="47">
        <v>-431234.22</v>
      </c>
      <c r="G24" s="47">
        <v>950000</v>
      </c>
      <c r="H24" s="47">
        <v>0</v>
      </c>
      <c r="I24" s="47">
        <v>100000</v>
      </c>
      <c r="J24" s="47">
        <v>381234.22</v>
      </c>
      <c r="K24" s="47">
        <v>0</v>
      </c>
      <c r="L24" s="47">
        <v>0</v>
      </c>
      <c r="M24" s="47">
        <f>0+500000</f>
        <v>500000</v>
      </c>
      <c r="N24" s="47">
        <v>0</v>
      </c>
      <c r="O24" s="47">
        <v>0</v>
      </c>
      <c r="P24" s="48">
        <f>30000+20750</f>
        <v>50750</v>
      </c>
      <c r="Q24" s="93">
        <v>0</v>
      </c>
      <c r="R24" s="48" t="s">
        <v>25</v>
      </c>
      <c r="S24" s="93">
        <v>1550750</v>
      </c>
      <c r="T24" s="93">
        <f t="shared" si="2"/>
        <v>0</v>
      </c>
      <c r="U24" s="93">
        <v>7</v>
      </c>
    </row>
    <row r="25" spans="1:21" ht="13.5" thickBot="1" x14ac:dyDescent="0.25">
      <c r="A25" s="49"/>
      <c r="B25" s="46"/>
      <c r="C25" s="49"/>
      <c r="D25" s="49" t="s">
        <v>24</v>
      </c>
      <c r="E25" s="62">
        <f t="shared" si="1"/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8">
        <v>0</v>
      </c>
      <c r="Q25" s="93">
        <v>0</v>
      </c>
      <c r="R25" s="48" t="s">
        <v>24</v>
      </c>
      <c r="S25" s="93">
        <v>0</v>
      </c>
      <c r="T25" s="93">
        <f t="shared" si="2"/>
        <v>0</v>
      </c>
      <c r="U25" s="93">
        <v>8</v>
      </c>
    </row>
    <row r="26" spans="1:21" ht="13.5" thickBot="1" x14ac:dyDescent="0.25">
      <c r="A26" s="49"/>
      <c r="B26" s="46"/>
      <c r="C26" s="49"/>
      <c r="D26" s="67" t="s">
        <v>55</v>
      </c>
      <c r="E26" s="68">
        <f>SUM(E9:E25)</f>
        <v>1363725477.4800019</v>
      </c>
      <c r="F26" s="69">
        <f t="shared" ref="F26:Q26" si="3">SUM(F9:F25)</f>
        <v>30779299.299999937</v>
      </c>
      <c r="G26" s="69">
        <f t="shared" si="3"/>
        <v>51010774.860000715</v>
      </c>
      <c r="H26" s="69">
        <f t="shared" si="3"/>
        <v>123611473.05999944</v>
      </c>
      <c r="I26" s="69">
        <f t="shared" si="3"/>
        <v>149611934.56999996</v>
      </c>
      <c r="J26" s="69">
        <f t="shared" si="3"/>
        <v>126087877.34999861</v>
      </c>
      <c r="K26" s="69">
        <f t="shared" si="3"/>
        <v>123381614.32999989</v>
      </c>
      <c r="L26" s="69">
        <f t="shared" si="3"/>
        <v>140254029.49999812</v>
      </c>
      <c r="M26" s="69">
        <f t="shared" si="3"/>
        <v>124145893.82000224</v>
      </c>
      <c r="N26" s="69">
        <f t="shared" si="3"/>
        <v>119528646.66000134</v>
      </c>
      <c r="O26" s="69">
        <f t="shared" si="3"/>
        <v>119730892.05000409</v>
      </c>
      <c r="P26" s="69">
        <f t="shared" si="3"/>
        <v>124273769.40999697</v>
      </c>
      <c r="Q26" s="69">
        <f t="shared" si="3"/>
        <v>131309272.5700006</v>
      </c>
      <c r="S26" s="121">
        <f>SUM(S9:S25)</f>
        <v>1363725477.4800019</v>
      </c>
      <c r="T26" s="121">
        <f t="shared" ref="T26:U26" si="4">SUM(T9:T25)</f>
        <v>3.5762786865234375E-7</v>
      </c>
      <c r="U26" s="121">
        <f t="shared" si="4"/>
        <v>67.489997625350867</v>
      </c>
    </row>
    <row r="27" spans="1:21" x14ac:dyDescent="0.2">
      <c r="A27" s="49"/>
      <c r="B27" s="46"/>
      <c r="C27" s="49"/>
      <c r="D27" s="49"/>
      <c r="E27" s="49"/>
      <c r="F27" s="46"/>
      <c r="G27" s="46"/>
    </row>
    <row r="28" spans="1:21" ht="29.25" customHeight="1" x14ac:dyDescent="0.2">
      <c r="A28" s="11"/>
      <c r="B28" s="169" t="s">
        <v>82</v>
      </c>
      <c r="C28" s="169"/>
      <c r="D28" s="169"/>
      <c r="E28" s="169"/>
      <c r="F28" s="169"/>
      <c r="G28" s="70"/>
    </row>
    <row r="29" spans="1:21" x14ac:dyDescent="0.2">
      <c r="A29" s="49"/>
      <c r="B29" s="46"/>
      <c r="C29" s="49"/>
      <c r="D29" s="49"/>
      <c r="E29" s="126"/>
      <c r="F29" s="46"/>
      <c r="G29" s="46"/>
    </row>
    <row r="30" spans="1:21" ht="29.25" customHeight="1" x14ac:dyDescent="0.2">
      <c r="B30" s="169" t="str">
        <f>"GENERAL OPERATIONS" &amp; " YTD EXPENSES"&amp;CHAR(10)&amp;TEXT(C6,"$#,##0")</f>
        <v>GENERAL OPERATIONS YTD EXPENSES
$1,363,725,477</v>
      </c>
      <c r="C30" s="169"/>
      <c r="D30" s="169"/>
      <c r="E30" s="169"/>
      <c r="F30" s="169"/>
      <c r="G30" s="70"/>
      <c r="H30" s="125" t="s">
        <v>83</v>
      </c>
    </row>
    <row r="31" spans="1:21" x14ac:dyDescent="0.2">
      <c r="A31" s="49"/>
      <c r="B31" s="46"/>
      <c r="C31" s="49"/>
      <c r="D31" s="49"/>
      <c r="E31" s="49"/>
      <c r="F31" s="46"/>
      <c r="G31" s="46"/>
    </row>
    <row r="32" spans="1:21" x14ac:dyDescent="0.2">
      <c r="A32" s="49"/>
      <c r="B32" s="46"/>
      <c r="C32" s="49"/>
      <c r="D32" s="49"/>
      <c r="E32" s="49"/>
      <c r="F32" s="46"/>
      <c r="G32" s="46"/>
    </row>
    <row r="33" spans="1:21" x14ac:dyDescent="0.2">
      <c r="A33" s="49"/>
      <c r="B33" s="46"/>
      <c r="C33" s="49"/>
      <c r="D33" s="49"/>
      <c r="E33" s="46"/>
      <c r="F33" s="46"/>
      <c r="G33" s="46"/>
    </row>
    <row r="34" spans="1:21" x14ac:dyDescent="0.2">
      <c r="A34" s="71"/>
      <c r="B34" s="72"/>
      <c r="C34" s="71"/>
      <c r="D34" s="71"/>
      <c r="E34" s="71"/>
      <c r="F34" s="72"/>
      <c r="G34" s="72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4"/>
    </row>
    <row r="35" spans="1:21" x14ac:dyDescent="0.2">
      <c r="A35" s="49"/>
      <c r="B35" s="46"/>
      <c r="C35" s="49"/>
      <c r="D35" s="49"/>
      <c r="E35" s="49"/>
      <c r="F35" s="46"/>
      <c r="G35" s="46"/>
    </row>
    <row r="36" spans="1:21" x14ac:dyDescent="0.2">
      <c r="A36" s="49"/>
      <c r="B36" s="46"/>
      <c r="C36" s="49"/>
      <c r="D36" s="49"/>
      <c r="E36" s="49"/>
      <c r="F36" s="46"/>
      <c r="G36" s="46"/>
    </row>
    <row r="37" spans="1:21" ht="13.5" thickBot="1" x14ac:dyDescent="0.25">
      <c r="H37" s="48"/>
      <c r="I37" s="48"/>
      <c r="J37" s="48"/>
      <c r="K37" s="48"/>
      <c r="L37" s="48"/>
      <c r="M37" s="48"/>
      <c r="N37" s="48"/>
      <c r="O37" s="48"/>
      <c r="P37" s="48"/>
      <c r="Q37" s="48"/>
    </row>
    <row r="38" spans="1:21" ht="13.5" thickBot="1" x14ac:dyDescent="0.25">
      <c r="A38" s="170" t="s">
        <v>56</v>
      </c>
      <c r="B38" s="171"/>
      <c r="C38" s="171"/>
      <c r="D38" s="171"/>
      <c r="E38" s="171"/>
      <c r="F38" s="172"/>
      <c r="G38" s="49"/>
      <c r="H38" s="48"/>
      <c r="I38" s="48"/>
      <c r="J38" s="48"/>
      <c r="K38" s="48"/>
      <c r="L38" s="48"/>
      <c r="M38" s="48"/>
      <c r="N38" s="48"/>
      <c r="O38" s="48"/>
      <c r="P38" s="48"/>
      <c r="Q38" s="48"/>
    </row>
    <row r="39" spans="1:21" ht="13.5" thickBot="1" x14ac:dyDescent="0.25">
      <c r="B39" s="47"/>
      <c r="D39" s="49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1:21" ht="26.25" thickBot="1" x14ac:dyDescent="0.25">
      <c r="B40" s="75" t="s">
        <v>57</v>
      </c>
      <c r="C40" s="76" t="s">
        <v>58</v>
      </c>
      <c r="D40" s="77" t="s">
        <v>59</v>
      </c>
      <c r="E40" s="78" t="s">
        <v>40</v>
      </c>
      <c r="F40" s="79" t="s">
        <v>41</v>
      </c>
      <c r="G40" s="79" t="s">
        <v>42</v>
      </c>
      <c r="H40" s="79" t="s">
        <v>43</v>
      </c>
      <c r="I40" s="79" t="s">
        <v>44</v>
      </c>
      <c r="J40" s="79" t="s">
        <v>45</v>
      </c>
      <c r="K40" s="79" t="s">
        <v>46</v>
      </c>
      <c r="L40" s="79" t="s">
        <v>47</v>
      </c>
      <c r="M40" s="79" t="s">
        <v>48</v>
      </c>
      <c r="N40" s="79" t="s">
        <v>49</v>
      </c>
      <c r="O40" s="79" t="s">
        <v>50</v>
      </c>
      <c r="P40" s="80" t="s">
        <v>51</v>
      </c>
      <c r="Q40" s="48"/>
      <c r="R40" s="81"/>
      <c r="S40" s="127"/>
      <c r="T40" s="127"/>
    </row>
    <row r="41" spans="1:21" s="81" customFormat="1" ht="14.25" x14ac:dyDescent="0.2">
      <c r="A41" s="81" t="s">
        <v>8</v>
      </c>
      <c r="B41" s="149">
        <v>920385016.21000004</v>
      </c>
      <c r="C41" s="82">
        <f>SUM(E41:P41)</f>
        <v>896285265.60000002</v>
      </c>
      <c r="D41" s="83">
        <f t="shared" ref="D41:D46" si="5">C41/B41</f>
        <v>0.97381557697534127</v>
      </c>
      <c r="E41" s="128">
        <v>14053.449999999999</v>
      </c>
      <c r="F41" s="128">
        <v>17695604.080000002</v>
      </c>
      <c r="G41" s="128">
        <f>102724387.24+5159983.95000005</f>
        <v>107884371.19000004</v>
      </c>
      <c r="H41" s="128">
        <f>340581323.85+22630337.52+189733.190000057</f>
        <v>363401394.56000006</v>
      </c>
      <c r="I41" s="128">
        <f>281567572.17+95</f>
        <v>281567667.17000002</v>
      </c>
      <c r="J41" s="128">
        <f>22116890.82+46219619.3399998</f>
        <v>68336510.159999803</v>
      </c>
      <c r="K41" s="128">
        <f>8714878.75-25610.9999997615</f>
        <v>8689267.7500002384</v>
      </c>
      <c r="L41" s="128">
        <f>5712717.31+78772.7699999809</f>
        <v>5791490.0799999805</v>
      </c>
      <c r="M41" s="128">
        <v>11659674.779999999</v>
      </c>
      <c r="N41" s="128">
        <v>15111554.609999999</v>
      </c>
      <c r="O41" s="128">
        <v>8500896.9700000025</v>
      </c>
      <c r="P41" s="128">
        <v>7632780.7999999998</v>
      </c>
      <c r="R41" s="135"/>
      <c r="S41" s="141">
        <v>896285265.60000026</v>
      </c>
      <c r="T41" s="127">
        <f>S41-C41</f>
        <v>0</v>
      </c>
      <c r="U41" s="127">
        <v>0</v>
      </c>
    </row>
    <row r="42" spans="1:21" s="81" customFormat="1" ht="14.25" x14ac:dyDescent="0.2">
      <c r="A42" s="81" t="s">
        <v>9</v>
      </c>
      <c r="B42" s="150">
        <v>9000000</v>
      </c>
      <c r="C42" s="84">
        <f>SUM(E42:P42)</f>
        <v>23475343.82</v>
      </c>
      <c r="D42" s="85">
        <f t="shared" si="5"/>
        <v>2.6083715355555555</v>
      </c>
      <c r="E42" s="129">
        <v>1515669.89</v>
      </c>
      <c r="F42" s="129">
        <v>1137720.8500000001</v>
      </c>
      <c r="G42" s="129">
        <v>857068.02</v>
      </c>
      <c r="H42" s="129">
        <v>805959.09</v>
      </c>
      <c r="I42" s="129">
        <v>1037531.31</v>
      </c>
      <c r="J42" s="129">
        <f>0+2187695.57</f>
        <v>2187695.5699999998</v>
      </c>
      <c r="K42" s="129">
        <v>2834426.23</v>
      </c>
      <c r="L42" s="129">
        <v>2908101.15</v>
      </c>
      <c r="M42" s="129">
        <v>2935252.1</v>
      </c>
      <c r="N42" s="129">
        <v>2565776.79</v>
      </c>
      <c r="O42" s="129">
        <v>2561115.61</v>
      </c>
      <c r="P42" s="129">
        <v>2129027.21</v>
      </c>
      <c r="R42" s="135"/>
      <c r="S42" s="141">
        <v>23475343.82</v>
      </c>
      <c r="T42" s="127">
        <f t="shared" ref="T42:T45" si="6">S42-C42</f>
        <v>0</v>
      </c>
      <c r="U42" s="127">
        <v>0</v>
      </c>
    </row>
    <row r="43" spans="1:21" s="81" customFormat="1" ht="14.25" x14ac:dyDescent="0.2">
      <c r="A43" s="81" t="s">
        <v>10</v>
      </c>
      <c r="B43" s="150">
        <v>528349553.62</v>
      </c>
      <c r="C43" s="84">
        <f>SUM(E43:P43)</f>
        <v>535308714.20000005</v>
      </c>
      <c r="D43" s="85">
        <f t="shared" si="5"/>
        <v>1.0131715083931068</v>
      </c>
      <c r="E43" s="129">
        <v>7247206.2800000003</v>
      </c>
      <c r="F43" s="129">
        <v>8095535.3399999999</v>
      </c>
      <c r="G43" s="129">
        <v>50424050</v>
      </c>
      <c r="H43" s="129">
        <f>50469643.26+14637917-14637917</f>
        <v>50469643.259999998</v>
      </c>
      <c r="I43" s="129">
        <f>50366042.56+271837.00000003</f>
        <v>50637879.560000032</v>
      </c>
      <c r="J43" s="129">
        <f>60187450.78-271837.00000006</f>
        <v>59915613.779999942</v>
      </c>
      <c r="K43" s="129">
        <v>49931804</v>
      </c>
      <c r="L43" s="129">
        <f>42694681.56+7271631</f>
        <v>49966312.560000002</v>
      </c>
      <c r="M43" s="129">
        <v>51019824.670000002</v>
      </c>
      <c r="N43" s="129">
        <v>50321646.240000002</v>
      </c>
      <c r="O43" s="129">
        <v>50547881.789999999</v>
      </c>
      <c r="P43" s="129">
        <v>56731316.719999999</v>
      </c>
      <c r="R43" s="135"/>
      <c r="S43" s="141">
        <v>535308714.19999999</v>
      </c>
      <c r="T43" s="127">
        <f t="shared" si="6"/>
        <v>0</v>
      </c>
      <c r="U43" s="127">
        <v>0</v>
      </c>
    </row>
    <row r="44" spans="1:21" s="81" customFormat="1" ht="14.25" x14ac:dyDescent="0.2">
      <c r="A44" s="81" t="s">
        <v>74</v>
      </c>
      <c r="B44" s="150">
        <v>0</v>
      </c>
      <c r="C44" s="84">
        <f>SUM(E44:P44)</f>
        <v>6147132</v>
      </c>
      <c r="D44" s="85" t="e">
        <f t="shared" si="5"/>
        <v>#DIV/0!</v>
      </c>
      <c r="E44" s="129"/>
      <c r="F44" s="129"/>
      <c r="G44" s="129"/>
      <c r="H44" s="129"/>
      <c r="I44" s="129"/>
      <c r="J44" s="129"/>
      <c r="K44" s="129"/>
      <c r="L44" s="129"/>
      <c r="M44" s="129">
        <v>6147132</v>
      </c>
      <c r="N44" s="129">
        <v>0</v>
      </c>
      <c r="O44" s="129">
        <v>0</v>
      </c>
      <c r="P44" s="129">
        <v>0</v>
      </c>
      <c r="R44" s="135"/>
      <c r="S44" s="141">
        <v>6147132</v>
      </c>
      <c r="T44" s="127">
        <f t="shared" si="6"/>
        <v>0</v>
      </c>
      <c r="U44" s="127">
        <v>0</v>
      </c>
    </row>
    <row r="45" spans="1:21" s="81" customFormat="1" ht="15" thickBot="1" x14ac:dyDescent="0.25">
      <c r="A45" s="81" t="s">
        <v>11</v>
      </c>
      <c r="B45" s="151">
        <v>1433772</v>
      </c>
      <c r="C45" s="84">
        <f>SUM(E45:P45)</f>
        <v>182304.92999999996</v>
      </c>
      <c r="D45" s="86">
        <f t="shared" si="5"/>
        <v>0.12715057205748193</v>
      </c>
      <c r="E45" s="130">
        <v>-3178.04</v>
      </c>
      <c r="F45" s="130">
        <v>18280.689999999999</v>
      </c>
      <c r="G45" s="130">
        <v>59356.54</v>
      </c>
      <c r="H45" s="130">
        <v>3290.63</v>
      </c>
      <c r="I45" s="130">
        <v>100</v>
      </c>
      <c r="J45" s="130">
        <f>55519.78+4658.50999999998</f>
        <v>60178.289999999979</v>
      </c>
      <c r="K45" s="130">
        <v>6660.46</v>
      </c>
      <c r="L45" s="130">
        <v>0</v>
      </c>
      <c r="M45" s="130">
        <v>8347.6200000000008</v>
      </c>
      <c r="N45" s="130">
        <v>29268.74</v>
      </c>
      <c r="O45" s="130">
        <v>0</v>
      </c>
      <c r="P45" s="130">
        <v>0</v>
      </c>
      <c r="R45" s="136"/>
      <c r="S45" s="141">
        <v>182304.93</v>
      </c>
      <c r="T45" s="127">
        <f t="shared" si="6"/>
        <v>0</v>
      </c>
      <c r="U45" s="127">
        <v>0</v>
      </c>
    </row>
    <row r="46" spans="1:21" s="87" customFormat="1" ht="12.75" customHeight="1" thickBot="1" x14ac:dyDescent="0.25">
      <c r="B46" s="88">
        <f>SUM(B41:B45)</f>
        <v>1459168341.8299999</v>
      </c>
      <c r="C46" s="89">
        <f>SUM(C41:C45)</f>
        <v>1461398760.5500002</v>
      </c>
      <c r="D46" s="90">
        <f t="shared" si="5"/>
        <v>1.0015285547637383</v>
      </c>
      <c r="E46" s="91">
        <f>SUM(E41:E45)</f>
        <v>8773751.5800000019</v>
      </c>
      <c r="F46" s="92">
        <f t="shared" ref="F46:P46" si="7">SUM(F41:F45)</f>
        <v>26947140.960000005</v>
      </c>
      <c r="G46" s="92">
        <f t="shared" si="7"/>
        <v>159224845.75000003</v>
      </c>
      <c r="H46" s="92">
        <f t="shared" si="7"/>
        <v>414680287.54000002</v>
      </c>
      <c r="I46" s="92">
        <f t="shared" si="7"/>
        <v>333243178.04000008</v>
      </c>
      <c r="J46" s="92">
        <f t="shared" si="7"/>
        <v>130499997.79999974</v>
      </c>
      <c r="K46" s="92">
        <f t="shared" si="7"/>
        <v>61462158.440000243</v>
      </c>
      <c r="L46" s="92">
        <f t="shared" si="7"/>
        <v>58665903.789999984</v>
      </c>
      <c r="M46" s="92">
        <f t="shared" si="7"/>
        <v>71770231.170000002</v>
      </c>
      <c r="N46" s="92">
        <f t="shared" si="7"/>
        <v>68028246.379999995</v>
      </c>
      <c r="O46" s="92">
        <f t="shared" si="7"/>
        <v>61609894.370000005</v>
      </c>
      <c r="P46" s="92">
        <f t="shared" si="7"/>
        <v>66493124.729999997</v>
      </c>
      <c r="Q46" s="48"/>
      <c r="R46" s="47"/>
      <c r="S46" s="93"/>
      <c r="T46" s="93"/>
      <c r="U46" s="143"/>
    </row>
    <row r="47" spans="1:21" ht="13.5" thickBot="1" x14ac:dyDescent="0.25">
      <c r="B47" s="47"/>
      <c r="C47" s="93"/>
      <c r="E47" s="47"/>
      <c r="L47" s="48"/>
      <c r="M47" s="48"/>
      <c r="N47" s="48"/>
      <c r="O47" s="48"/>
      <c r="P47" s="48"/>
      <c r="Q47" s="48"/>
    </row>
    <row r="48" spans="1:21" s="87" customFormat="1" ht="12.75" customHeight="1" x14ac:dyDescent="0.2">
      <c r="A48" s="94" t="s">
        <v>60</v>
      </c>
      <c r="B48" s="95">
        <f>+B41+B42+B45+B44</f>
        <v>930818788.21000004</v>
      </c>
      <c r="C48" s="82">
        <f>+C41+C42+C44+C45</f>
        <v>926090046.35000002</v>
      </c>
      <c r="D48" s="96">
        <f>C48/B48</f>
        <v>0.99491980402641678</v>
      </c>
      <c r="E48" s="97">
        <f>+E41+E42+E44+E45</f>
        <v>1526545.2999999998</v>
      </c>
      <c r="F48" s="97">
        <f t="shared" ref="F48:P48" si="8">+F41+F42+F44+F45</f>
        <v>18851605.620000005</v>
      </c>
      <c r="G48" s="97">
        <f t="shared" si="8"/>
        <v>108800795.75000004</v>
      </c>
      <c r="H48" s="97">
        <f t="shared" si="8"/>
        <v>364210644.28000003</v>
      </c>
      <c r="I48" s="97">
        <f t="shared" si="8"/>
        <v>282605298.48000002</v>
      </c>
      <c r="J48" s="97">
        <f t="shared" si="8"/>
        <v>70584384.019999802</v>
      </c>
      <c r="K48" s="97">
        <f t="shared" si="8"/>
        <v>11530354.44000024</v>
      </c>
      <c r="L48" s="97">
        <f t="shared" si="8"/>
        <v>8699591.22999998</v>
      </c>
      <c r="M48" s="97">
        <f t="shared" si="8"/>
        <v>20750406.5</v>
      </c>
      <c r="N48" s="97">
        <f t="shared" si="8"/>
        <v>17706600.139999997</v>
      </c>
      <c r="O48" s="97">
        <f t="shared" si="8"/>
        <v>11062012.580000002</v>
      </c>
      <c r="P48" s="97">
        <f t="shared" si="8"/>
        <v>9761808.0099999998</v>
      </c>
      <c r="Q48" s="48"/>
      <c r="R48" s="48"/>
      <c r="S48" s="93"/>
      <c r="T48" s="93"/>
      <c r="U48" s="143"/>
    </row>
    <row r="49" spans="1:21" s="87" customFormat="1" ht="12.75" customHeight="1" thickBot="1" x14ac:dyDescent="0.25">
      <c r="A49" s="94" t="s">
        <v>61</v>
      </c>
      <c r="B49" s="98">
        <f>B43</f>
        <v>528349553.62</v>
      </c>
      <c r="C49" s="99">
        <f>C43</f>
        <v>535308714.20000005</v>
      </c>
      <c r="D49" s="100">
        <f>C49/B49</f>
        <v>1.0131715083931068</v>
      </c>
      <c r="E49" s="101">
        <f>E43</f>
        <v>7247206.2800000003</v>
      </c>
      <c r="F49" s="101">
        <f t="shared" ref="F49:P49" si="9">F43</f>
        <v>8095535.3399999999</v>
      </c>
      <c r="G49" s="101">
        <f t="shared" si="9"/>
        <v>50424050</v>
      </c>
      <c r="H49" s="101">
        <f t="shared" si="9"/>
        <v>50469643.259999998</v>
      </c>
      <c r="I49" s="101">
        <f t="shared" si="9"/>
        <v>50637879.560000032</v>
      </c>
      <c r="J49" s="101">
        <f t="shared" si="9"/>
        <v>59915613.779999942</v>
      </c>
      <c r="K49" s="101">
        <f t="shared" si="9"/>
        <v>49931804</v>
      </c>
      <c r="L49" s="101">
        <f t="shared" si="9"/>
        <v>49966312.560000002</v>
      </c>
      <c r="M49" s="101">
        <f t="shared" si="9"/>
        <v>51019824.670000002</v>
      </c>
      <c r="N49" s="101">
        <f t="shared" si="9"/>
        <v>50321646.240000002</v>
      </c>
      <c r="O49" s="101">
        <f t="shared" si="9"/>
        <v>50547881.789999999</v>
      </c>
      <c r="P49" s="101">
        <f t="shared" si="9"/>
        <v>56731316.719999999</v>
      </c>
      <c r="Q49" s="48"/>
      <c r="R49" s="48"/>
      <c r="S49" s="93"/>
      <c r="T49" s="93"/>
      <c r="U49" s="143"/>
    </row>
    <row r="50" spans="1:21" s="87" customFormat="1" ht="12.75" customHeight="1" thickBot="1" x14ac:dyDescent="0.25">
      <c r="B50" s="88">
        <f>SUM(B48:B49)</f>
        <v>1459168341.8299999</v>
      </c>
      <c r="C50" s="102">
        <f>SUM(C48:C49)</f>
        <v>1461398760.5500002</v>
      </c>
      <c r="D50" s="103">
        <f>C50/B50</f>
        <v>1.0015285547637383</v>
      </c>
      <c r="E50" s="104">
        <f>+E48+E49</f>
        <v>8773751.5800000001</v>
      </c>
      <c r="F50" s="105">
        <f t="shared" ref="F50:P50" si="10">+F48+F49</f>
        <v>26947140.960000005</v>
      </c>
      <c r="G50" s="105">
        <f t="shared" si="10"/>
        <v>159224845.75000006</v>
      </c>
      <c r="H50" s="105">
        <f t="shared" si="10"/>
        <v>414680287.54000002</v>
      </c>
      <c r="I50" s="105">
        <f t="shared" si="10"/>
        <v>333243178.04000008</v>
      </c>
      <c r="J50" s="105">
        <f t="shared" si="10"/>
        <v>130499997.79999974</v>
      </c>
      <c r="K50" s="105">
        <f t="shared" si="10"/>
        <v>61462158.440000236</v>
      </c>
      <c r="L50" s="105">
        <f t="shared" si="10"/>
        <v>58665903.789999984</v>
      </c>
      <c r="M50" s="105">
        <f t="shared" si="10"/>
        <v>71770231.170000002</v>
      </c>
      <c r="N50" s="105">
        <f t="shared" si="10"/>
        <v>68028246.379999995</v>
      </c>
      <c r="O50" s="105">
        <f t="shared" si="10"/>
        <v>61609894.370000005</v>
      </c>
      <c r="P50" s="106">
        <f t="shared" si="10"/>
        <v>66493124.729999997</v>
      </c>
      <c r="Q50" s="48"/>
      <c r="R50" s="48"/>
      <c r="S50" s="93"/>
      <c r="T50" s="93"/>
      <c r="U50" s="143"/>
    </row>
    <row r="51" spans="1:21" s="87" customFormat="1" ht="12.75" customHeight="1" thickBot="1" x14ac:dyDescent="0.25"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93"/>
      <c r="T51" s="93"/>
      <c r="U51" s="143"/>
    </row>
    <row r="52" spans="1:21" s="87" customFormat="1" ht="12.75" customHeight="1" thickBot="1" x14ac:dyDescent="0.25">
      <c r="C52" s="162" t="s">
        <v>62</v>
      </c>
      <c r="D52" s="163"/>
      <c r="E52" s="107" t="s">
        <v>40</v>
      </c>
      <c r="F52" s="108" t="s">
        <v>41</v>
      </c>
      <c r="G52" s="108" t="s">
        <v>42</v>
      </c>
      <c r="H52" s="108" t="s">
        <v>43</v>
      </c>
      <c r="I52" s="108" t="s">
        <v>44</v>
      </c>
      <c r="J52" s="108" t="s">
        <v>45</v>
      </c>
      <c r="K52" s="108" t="s">
        <v>46</v>
      </c>
      <c r="L52" s="108" t="s">
        <v>47</v>
      </c>
      <c r="M52" s="108" t="s">
        <v>48</v>
      </c>
      <c r="N52" s="108" t="s">
        <v>49</v>
      </c>
      <c r="O52" s="108" t="s">
        <v>50</v>
      </c>
      <c r="P52" s="51" t="s">
        <v>51</v>
      </c>
      <c r="Q52" s="48"/>
      <c r="R52" s="48"/>
      <c r="S52" s="93"/>
      <c r="T52" s="93"/>
      <c r="U52" s="143"/>
    </row>
    <row r="53" spans="1:21" s="87" customFormat="1" ht="12.75" customHeight="1" x14ac:dyDescent="0.2">
      <c r="C53" s="109" t="s">
        <v>60</v>
      </c>
      <c r="D53" s="48"/>
      <c r="E53" s="47">
        <f>E48</f>
        <v>1526545.2999999998</v>
      </c>
      <c r="F53" s="47">
        <f>E53+F48</f>
        <v>20378150.920000006</v>
      </c>
      <c r="G53" s="47">
        <f t="shared" ref="G53:P54" si="11">F53+G48</f>
        <v>129178946.67000005</v>
      </c>
      <c r="H53" s="47">
        <f t="shared" si="11"/>
        <v>493389590.95000005</v>
      </c>
      <c r="I53" s="47">
        <f t="shared" si="11"/>
        <v>775994889.43000007</v>
      </c>
      <c r="J53" s="47">
        <f t="shared" si="11"/>
        <v>846579273.44999981</v>
      </c>
      <c r="K53" s="47">
        <f t="shared" si="11"/>
        <v>858109627.8900001</v>
      </c>
      <c r="L53" s="47">
        <f t="shared" si="11"/>
        <v>866809219.12000012</v>
      </c>
      <c r="M53" s="47">
        <f t="shared" si="11"/>
        <v>887559625.62000012</v>
      </c>
      <c r="N53" s="47">
        <f t="shared" si="11"/>
        <v>905266225.76000011</v>
      </c>
      <c r="O53" s="47">
        <f t="shared" si="11"/>
        <v>916328238.34000015</v>
      </c>
      <c r="P53" s="47">
        <f t="shared" si="11"/>
        <v>926090046.35000014</v>
      </c>
      <c r="Q53" s="48"/>
      <c r="R53" s="48"/>
      <c r="S53" s="93"/>
      <c r="T53" s="93"/>
      <c r="U53" s="143"/>
    </row>
    <row r="54" spans="1:21" s="87" customFormat="1" ht="12.75" customHeight="1" thickBot="1" x14ac:dyDescent="0.25">
      <c r="C54" s="109" t="s">
        <v>61</v>
      </c>
      <c r="D54" s="48"/>
      <c r="E54" s="47">
        <f>E49</f>
        <v>7247206.2800000003</v>
      </c>
      <c r="F54" s="47">
        <f>E54+F49</f>
        <v>15342741.620000001</v>
      </c>
      <c r="G54" s="47">
        <f t="shared" si="11"/>
        <v>65766791.620000005</v>
      </c>
      <c r="H54" s="47">
        <f t="shared" si="11"/>
        <v>116236434.88</v>
      </c>
      <c r="I54" s="47">
        <f t="shared" si="11"/>
        <v>166874314.44000003</v>
      </c>
      <c r="J54" s="47">
        <f t="shared" si="11"/>
        <v>226789928.21999997</v>
      </c>
      <c r="K54" s="47">
        <f t="shared" si="11"/>
        <v>276721732.21999997</v>
      </c>
      <c r="L54" s="47">
        <f t="shared" si="11"/>
        <v>326688044.77999997</v>
      </c>
      <c r="M54" s="47">
        <f t="shared" si="11"/>
        <v>377707869.44999999</v>
      </c>
      <c r="N54" s="47">
        <f t="shared" si="11"/>
        <v>428029515.69</v>
      </c>
      <c r="O54" s="47">
        <f t="shared" si="11"/>
        <v>478577397.48000002</v>
      </c>
      <c r="P54" s="47">
        <f t="shared" si="11"/>
        <v>535308714.20000005</v>
      </c>
      <c r="Q54" s="48"/>
      <c r="R54" s="48"/>
      <c r="S54" s="93"/>
      <c r="T54" s="93"/>
      <c r="U54" s="143"/>
    </row>
    <row r="55" spans="1:21" s="87" customFormat="1" ht="12.75" customHeight="1" thickBot="1" x14ac:dyDescent="0.25">
      <c r="C55" s="110" t="s">
        <v>63</v>
      </c>
      <c r="D55" s="48"/>
      <c r="E55" s="111">
        <f>+E53+E54</f>
        <v>8773751.5800000001</v>
      </c>
      <c r="F55" s="111">
        <f t="shared" ref="F55:P55" si="12">+F53+F54</f>
        <v>35720892.540000007</v>
      </c>
      <c r="G55" s="111">
        <f t="shared" si="12"/>
        <v>194945738.29000005</v>
      </c>
      <c r="H55" s="111">
        <f t="shared" si="12"/>
        <v>609626025.83000004</v>
      </c>
      <c r="I55" s="111">
        <f t="shared" si="12"/>
        <v>942869203.87000012</v>
      </c>
      <c r="J55" s="111">
        <f t="shared" si="12"/>
        <v>1073369201.6699998</v>
      </c>
      <c r="K55" s="111">
        <f t="shared" si="12"/>
        <v>1134831360.1100001</v>
      </c>
      <c r="L55" s="111">
        <f t="shared" si="12"/>
        <v>1193497263.9000001</v>
      </c>
      <c r="M55" s="111">
        <f t="shared" si="12"/>
        <v>1265267495.0700002</v>
      </c>
      <c r="N55" s="111">
        <f t="shared" si="12"/>
        <v>1333295741.45</v>
      </c>
      <c r="O55" s="111">
        <f t="shared" si="12"/>
        <v>1394905635.8200002</v>
      </c>
      <c r="P55" s="111">
        <f t="shared" si="12"/>
        <v>1461398760.5500002</v>
      </c>
      <c r="Q55" s="48"/>
      <c r="R55" s="48"/>
      <c r="S55" s="93"/>
      <c r="T55" s="93"/>
      <c r="U55" s="143"/>
    </row>
    <row r="56" spans="1:21" s="87" customFormat="1" ht="12.75" customHeight="1" x14ac:dyDescent="0.2">
      <c r="C56" s="112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93"/>
      <c r="T56" s="93"/>
      <c r="U56" s="143"/>
    </row>
    <row r="57" spans="1:21" ht="38.25" x14ac:dyDescent="0.2">
      <c r="A57" s="93"/>
      <c r="B57" s="138" t="str">
        <f>"(LOCAL &amp; OTHER)" &amp; "  " &amp; "Budgeted: " &amp; TEXT(B48,"$#,##0")  &amp; "  " &amp; "Actual: " &amp; TEXT(C48,"$#,##0") &amp; "  " &amp; TEXT(D48,"###.00%") &amp; CHAR(10) &amp; "(STATE)" &amp; "  " &amp; "Budgeted: " &amp; TEXT(B49,"$#,##0") &amp; "  " &amp; "Actual: " &amp; TEXT(C49,"$#,##0") &amp; "   " &amp; TEXT(D49,"###.00%") &amp; CHAR(10) &amp; "TOTAL Budgeted: " &amp; TEXT(B50,"$#,##0") &amp; "  " &amp; "Actual: " &amp; TEXT(C50,"$#,##0") &amp; "   " &amp; TEXT(D50,"###.00%")</f>
        <v>(LOCAL &amp; OTHER)  Budgeted: $930,818,788  Actual: $926,090,046  99.49%
(STATE)  Budgeted: $528,349,554  Actual: $535,308,714   101.32%
TOTAL Budgeted: $1,459,168,342  Actual: $1,461,398,761   100.15%</v>
      </c>
      <c r="C57" s="138"/>
      <c r="D57" s="138"/>
      <c r="E57" s="138"/>
      <c r="F57" s="138"/>
      <c r="G57" s="138"/>
      <c r="H57" s="138"/>
      <c r="I57" s="138"/>
      <c r="J57" s="138"/>
      <c r="K57" s="138"/>
      <c r="Q57" s="48"/>
      <c r="R57" s="139" t="s">
        <v>84</v>
      </c>
      <c r="T57" s="137"/>
      <c r="U57" s="137"/>
    </row>
    <row r="58" spans="1:21" x14ac:dyDescent="0.2">
      <c r="B58" s="161" t="str">
        <f>"(STATE)" &amp; CHAR(9) &amp; "Budgeted: " &amp; TEXT(B49,"$#,##0") &amp; CHAR(9) &amp; "Actual: " &amp; TEXT(C49,"$#,##0") &amp; "   " &amp; TEXT(D49,"###.00%")</f>
        <v>(STATE)	Budgeted: $528,349,554	Actual: $535,308,714   101.32%</v>
      </c>
      <c r="C58" s="161"/>
      <c r="D58" s="161"/>
      <c r="E58" s="161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125"/>
    </row>
    <row r="59" spans="1:21" x14ac:dyDescent="0.2">
      <c r="B59" s="161" t="str">
        <f>"TOTAL Budgeted: " &amp; TEXT(B50,"$#,##0") &amp; CHAR(9) &amp; "Actual: " &amp; TEXT(C50,"$#,##0") &amp; "   " &amp; TEXT(D50,"###.00%")</f>
        <v>TOTAL Budgeted: $1,459,168,342	Actual: $1,461,398,761   100.15%</v>
      </c>
      <c r="C59" s="161"/>
      <c r="D59" s="161"/>
      <c r="E59" s="161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7"/>
    </row>
    <row r="60" spans="1:21" x14ac:dyDescent="0.2">
      <c r="B60" s="113"/>
      <c r="C60" s="114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7"/>
    </row>
    <row r="61" spans="1:21" ht="13.5" thickBot="1" x14ac:dyDescent="0.25">
      <c r="B61" s="47"/>
      <c r="C61" s="93"/>
      <c r="E61" s="47"/>
      <c r="L61" s="48"/>
      <c r="M61" s="48"/>
      <c r="N61" s="48"/>
      <c r="O61" s="48"/>
      <c r="P61" s="48"/>
      <c r="Q61" s="48"/>
    </row>
    <row r="62" spans="1:21" s="93" customFormat="1" ht="26.25" thickBot="1" x14ac:dyDescent="0.25">
      <c r="A62" s="115" t="s">
        <v>32</v>
      </c>
      <c r="B62" s="116" t="s">
        <v>33</v>
      </c>
      <c r="P62" s="48"/>
      <c r="Q62" s="48"/>
      <c r="R62" s="48"/>
    </row>
    <row r="63" spans="1:21" s="93" customFormat="1" x14ac:dyDescent="0.2">
      <c r="A63" s="117" t="s">
        <v>8</v>
      </c>
      <c r="B63" s="118">
        <v>920385016.21000004</v>
      </c>
      <c r="C63" s="47"/>
      <c r="N63" s="119"/>
      <c r="O63" s="48"/>
      <c r="P63" s="48"/>
      <c r="Q63" s="48"/>
      <c r="R63" s="48"/>
    </row>
    <row r="64" spans="1:21" x14ac:dyDescent="0.2">
      <c r="A64" s="117" t="s">
        <v>9</v>
      </c>
      <c r="B64" s="118">
        <v>9000000</v>
      </c>
      <c r="C64" s="47"/>
      <c r="E64" s="47"/>
      <c r="G64" s="93"/>
      <c r="I64" s="93"/>
      <c r="J64" s="93"/>
      <c r="K64" s="93"/>
      <c r="L64" s="93"/>
      <c r="M64" s="48"/>
      <c r="N64" s="119"/>
      <c r="O64" s="120"/>
      <c r="P64" s="48"/>
      <c r="Q64" s="48"/>
    </row>
    <row r="65" spans="1:20" x14ac:dyDescent="0.2">
      <c r="A65" s="117" t="s">
        <v>10</v>
      </c>
      <c r="B65" s="118">
        <v>528349553.62</v>
      </c>
      <c r="C65" s="47"/>
      <c r="E65" s="47"/>
      <c r="G65" s="93"/>
      <c r="I65" s="93"/>
      <c r="J65" s="93"/>
      <c r="K65" s="93"/>
      <c r="L65" s="93"/>
      <c r="M65" s="48"/>
      <c r="N65" s="119"/>
      <c r="O65" s="120"/>
      <c r="P65" s="48"/>
      <c r="Q65" s="48"/>
    </row>
    <row r="66" spans="1:20" x14ac:dyDescent="0.2">
      <c r="A66" s="117" t="s">
        <v>74</v>
      </c>
      <c r="B66" s="47">
        <v>0</v>
      </c>
      <c r="E66" s="47"/>
      <c r="G66" s="93"/>
      <c r="I66" s="93"/>
      <c r="J66" s="93"/>
      <c r="K66" s="93"/>
      <c r="L66" s="93"/>
      <c r="M66" s="48"/>
      <c r="N66" s="119"/>
      <c r="O66" s="120"/>
      <c r="P66" s="48"/>
      <c r="Q66" s="48"/>
    </row>
    <row r="67" spans="1:20" ht="13.5" thickBot="1" x14ac:dyDescent="0.25">
      <c r="A67" s="117" t="s">
        <v>11</v>
      </c>
      <c r="B67" s="118">
        <v>1433772</v>
      </c>
      <c r="C67" s="47"/>
      <c r="D67" s="93"/>
      <c r="E67" s="47"/>
      <c r="G67" s="93"/>
      <c r="H67" s="47" t="str">
        <f xml:space="preserve"> CHAR(9)</f>
        <v xml:space="preserve">	</v>
      </c>
      <c r="I67" s="93"/>
      <c r="J67" s="93"/>
      <c r="K67" s="93"/>
      <c r="L67" s="93"/>
      <c r="M67" s="93"/>
      <c r="N67" s="48"/>
      <c r="O67" s="119"/>
      <c r="P67" s="120"/>
      <c r="Q67" s="48"/>
    </row>
    <row r="68" spans="1:20" ht="13.5" thickBot="1" x14ac:dyDescent="0.25">
      <c r="A68" s="121" t="s">
        <v>64</v>
      </c>
      <c r="B68" s="122">
        <f>SUM(B63:B67)</f>
        <v>1459168341.8299999</v>
      </c>
      <c r="C68" s="93"/>
      <c r="D68" s="93"/>
      <c r="E68" s="47"/>
      <c r="G68" s="93"/>
      <c r="I68" s="93"/>
      <c r="J68" s="93"/>
      <c r="K68" s="93"/>
      <c r="L68" s="93"/>
      <c r="M68" s="48"/>
      <c r="N68" s="119"/>
      <c r="O68" s="120"/>
      <c r="P68" s="48"/>
      <c r="Q68" s="48"/>
    </row>
    <row r="69" spans="1:20" ht="13.5" thickBot="1" x14ac:dyDescent="0.25">
      <c r="C69" s="47"/>
      <c r="D69" s="93"/>
      <c r="E69" s="47"/>
      <c r="I69" s="93"/>
      <c r="J69" s="93"/>
      <c r="K69" s="93"/>
      <c r="L69" s="93"/>
      <c r="M69" s="93"/>
      <c r="N69" s="48"/>
      <c r="O69" s="119"/>
      <c r="P69" s="120"/>
      <c r="Q69" s="48"/>
    </row>
    <row r="70" spans="1:20" ht="26.25" thickBot="1" x14ac:dyDescent="0.25">
      <c r="B70" s="110" t="s">
        <v>66</v>
      </c>
      <c r="C70" s="123" t="s">
        <v>65</v>
      </c>
      <c r="D70" s="93"/>
      <c r="E70" s="47"/>
      <c r="G70" s="93"/>
      <c r="H70" s="93"/>
      <c r="I70" s="93"/>
      <c r="J70" s="93"/>
      <c r="K70" s="93"/>
      <c r="L70" s="93"/>
      <c r="M70" s="48"/>
      <c r="N70" s="119"/>
      <c r="O70" s="120"/>
      <c r="P70" s="48"/>
      <c r="Q70" s="48"/>
    </row>
    <row r="71" spans="1:20" x14ac:dyDescent="0.2">
      <c r="A71" s="93" t="s">
        <v>8</v>
      </c>
      <c r="B71" s="47">
        <v>920385016.21000004</v>
      </c>
      <c r="C71" s="47">
        <v>896285265.60000002</v>
      </c>
      <c r="D71" s="93"/>
      <c r="E71" s="47"/>
      <c r="G71" s="93"/>
      <c r="H71" s="93"/>
      <c r="I71" s="93"/>
      <c r="J71" s="93"/>
      <c r="K71" s="93"/>
      <c r="L71" s="93"/>
      <c r="M71" s="48"/>
      <c r="N71" s="119"/>
      <c r="O71" s="120"/>
      <c r="P71" s="48"/>
      <c r="Q71" s="48"/>
    </row>
    <row r="72" spans="1:20" x14ac:dyDescent="0.2">
      <c r="A72" s="93" t="s">
        <v>9</v>
      </c>
      <c r="B72" s="47">
        <v>9000000</v>
      </c>
      <c r="C72" s="47">
        <v>23475343.82</v>
      </c>
      <c r="D72" s="93"/>
      <c r="E72" s="47"/>
      <c r="G72" s="93"/>
      <c r="H72" s="93"/>
      <c r="I72" s="93"/>
      <c r="J72" s="93"/>
      <c r="K72" s="93"/>
      <c r="L72" s="93"/>
      <c r="M72" s="48"/>
      <c r="N72" s="119"/>
      <c r="O72" s="120"/>
      <c r="P72" s="48"/>
      <c r="Q72" s="48"/>
    </row>
    <row r="73" spans="1:20" x14ac:dyDescent="0.2">
      <c r="A73" s="93" t="s">
        <v>10</v>
      </c>
      <c r="B73" s="47">
        <v>528349553.62</v>
      </c>
      <c r="C73" s="47">
        <v>535308714.20000005</v>
      </c>
      <c r="D73" s="93"/>
      <c r="E73" s="47"/>
      <c r="G73" s="93"/>
      <c r="H73" s="93"/>
      <c r="I73" s="93"/>
      <c r="J73" s="93"/>
      <c r="K73" s="93"/>
      <c r="L73" s="93"/>
      <c r="M73" s="48"/>
      <c r="N73" s="119"/>
      <c r="O73" s="120"/>
      <c r="P73" s="48"/>
      <c r="Q73" s="48"/>
    </row>
    <row r="74" spans="1:20" x14ac:dyDescent="0.2">
      <c r="A74" s="81" t="s">
        <v>74</v>
      </c>
      <c r="B74" s="47">
        <v>0</v>
      </c>
      <c r="C74" s="47">
        <v>6147132</v>
      </c>
      <c r="D74" s="93"/>
      <c r="E74" s="47"/>
      <c r="G74" s="93"/>
      <c r="H74" s="93"/>
      <c r="I74" s="93"/>
      <c r="J74" s="93"/>
      <c r="K74" s="93"/>
      <c r="L74" s="93"/>
      <c r="M74" s="48"/>
      <c r="N74" s="119"/>
      <c r="O74" s="120"/>
      <c r="P74" s="48"/>
      <c r="Q74" s="48"/>
    </row>
    <row r="75" spans="1:20" x14ac:dyDescent="0.2">
      <c r="A75" s="93" t="s">
        <v>11</v>
      </c>
      <c r="B75" s="47">
        <v>1433772</v>
      </c>
      <c r="C75" s="47">
        <v>182304.92999999996</v>
      </c>
      <c r="D75" s="93"/>
      <c r="E75" s="47"/>
      <c r="H75" s="93"/>
      <c r="I75" s="93"/>
      <c r="J75" s="93"/>
      <c r="K75" s="93"/>
      <c r="L75" s="93"/>
      <c r="M75" s="48"/>
      <c r="N75" s="119"/>
      <c r="O75" s="120"/>
      <c r="P75" s="48"/>
      <c r="Q75" s="48"/>
    </row>
    <row r="76" spans="1:20" x14ac:dyDescent="0.2">
      <c r="B76" s="47"/>
      <c r="E76" s="47"/>
      <c r="H76" s="93"/>
      <c r="I76" s="93"/>
      <c r="J76" s="93"/>
      <c r="K76" s="93"/>
      <c r="L76" s="93"/>
      <c r="M76" s="48"/>
      <c r="N76" s="119"/>
      <c r="O76" s="120"/>
      <c r="P76" s="48"/>
      <c r="Q76" s="48"/>
    </row>
    <row r="77" spans="1:20" x14ac:dyDescent="0.2">
      <c r="B77" s="47"/>
      <c r="E77" s="47"/>
      <c r="P77" s="48"/>
      <c r="Q77" s="48"/>
    </row>
    <row r="78" spans="1:20" x14ac:dyDescent="0.2">
      <c r="B78" s="47"/>
      <c r="E78" s="47"/>
      <c r="P78" s="48"/>
      <c r="Q78" s="48"/>
    </row>
    <row r="79" spans="1:20" ht="12.75" customHeight="1" x14ac:dyDescent="0.2">
      <c r="C79" s="125"/>
      <c r="D79" s="125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S79" s="48"/>
      <c r="T79" s="48"/>
    </row>
    <row r="80" spans="1:20" x14ac:dyDescent="0.2">
      <c r="E80" s="47"/>
      <c r="P80" s="48"/>
      <c r="Q80" s="48"/>
    </row>
    <row r="81" spans="2:17" x14ac:dyDescent="0.2">
      <c r="E81" s="47"/>
      <c r="P81" s="48"/>
      <c r="Q81" s="48"/>
    </row>
    <row r="82" spans="2:17" x14ac:dyDescent="0.2">
      <c r="B82" s="47"/>
      <c r="E82" s="47"/>
      <c r="P82" s="48"/>
      <c r="Q82" s="48"/>
    </row>
    <row r="83" spans="2:17" x14ac:dyDescent="0.2">
      <c r="B83" s="47"/>
      <c r="E83" s="47"/>
      <c r="P83" s="48"/>
      <c r="Q83" s="48"/>
    </row>
    <row r="84" spans="2:17" x14ac:dyDescent="0.2">
      <c r="E84" s="47"/>
      <c r="P84" s="48"/>
      <c r="Q84" s="48"/>
    </row>
    <row r="85" spans="2:17" x14ac:dyDescent="0.2">
      <c r="E85" s="47"/>
      <c r="P85" s="48"/>
      <c r="Q85" s="48"/>
    </row>
    <row r="86" spans="2:17" x14ac:dyDescent="0.2">
      <c r="E86" s="47"/>
      <c r="P86" s="48"/>
      <c r="Q86" s="48"/>
    </row>
    <row r="87" spans="2:17" x14ac:dyDescent="0.2">
      <c r="E87" s="47"/>
      <c r="P87" s="48"/>
      <c r="Q87" s="48"/>
    </row>
    <row r="88" spans="2:17" x14ac:dyDescent="0.2">
      <c r="E88" s="47"/>
      <c r="Q88" s="48"/>
    </row>
    <row r="89" spans="2:17" x14ac:dyDescent="0.2">
      <c r="E89" s="47"/>
      <c r="Q89" s="48"/>
    </row>
    <row r="90" spans="2:17" x14ac:dyDescent="0.2">
      <c r="E90" s="47"/>
      <c r="Q90" s="48"/>
    </row>
    <row r="91" spans="2:17" x14ac:dyDescent="0.2">
      <c r="E91" s="47"/>
      <c r="Q91" s="48"/>
    </row>
    <row r="92" spans="2:17" x14ac:dyDescent="0.2">
      <c r="E92" s="47"/>
      <c r="Q92" s="48"/>
    </row>
    <row r="93" spans="2:17" x14ac:dyDescent="0.2">
      <c r="E93" s="47"/>
      <c r="Q93" s="48"/>
    </row>
    <row r="94" spans="2:17" x14ac:dyDescent="0.2">
      <c r="E94" s="47"/>
      <c r="Q94" s="48"/>
    </row>
    <row r="95" spans="2:17" x14ac:dyDescent="0.2">
      <c r="E95" s="47"/>
      <c r="Q95" s="48"/>
    </row>
    <row r="96" spans="2:17" x14ac:dyDescent="0.2">
      <c r="E96" s="47"/>
      <c r="Q96" s="48"/>
    </row>
    <row r="97" spans="5:17" x14ac:dyDescent="0.2">
      <c r="E97" s="47"/>
      <c r="Q97" s="48"/>
    </row>
    <row r="98" spans="5:17" x14ac:dyDescent="0.2">
      <c r="E98" s="47"/>
      <c r="Q98" s="48"/>
    </row>
    <row r="99" spans="5:17" x14ac:dyDescent="0.2">
      <c r="E99" s="47"/>
      <c r="Q99" s="48"/>
    </row>
  </sheetData>
  <mergeCells count="8">
    <mergeCell ref="B58:E58"/>
    <mergeCell ref="B59:E59"/>
    <mergeCell ref="C52:D52"/>
    <mergeCell ref="A1:G1"/>
    <mergeCell ref="A3:G3"/>
    <mergeCell ref="B28:F28"/>
    <mergeCell ref="B30:F30"/>
    <mergeCell ref="A38:F3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5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28" bestFit="1" customWidth="1"/>
    <col min="4" max="4" width="13.7109375" style="28" bestFit="1" customWidth="1"/>
    <col min="5" max="5" width="14.7109375" style="28" bestFit="1" customWidth="1"/>
    <col min="6" max="6" width="16.85546875" style="28" customWidth="1"/>
    <col min="7" max="7" width="14.7109375" style="28" bestFit="1" customWidth="1"/>
    <col min="8" max="8" width="15.7109375" style="28" customWidth="1"/>
    <col min="9" max="9" width="13.5703125" style="1" customWidth="1"/>
    <col min="10" max="10" width="2.42578125" style="1" customWidth="1"/>
    <col min="11" max="11" width="25.7109375" style="1" bestFit="1" customWidth="1"/>
    <col min="12" max="13" width="14.5703125" style="131" bestFit="1" customWidth="1"/>
    <col min="14" max="15" width="14.140625" style="131" customWidth="1"/>
    <col min="16" max="16" width="13.7109375" style="131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22" ht="18.75" x14ac:dyDescent="0.3">
      <c r="A2" s="159" t="s">
        <v>76</v>
      </c>
      <c r="B2" s="159"/>
      <c r="C2" s="159"/>
      <c r="D2" s="159"/>
      <c r="E2" s="159"/>
      <c r="F2" s="159"/>
      <c r="G2" s="159"/>
      <c r="H2" s="159"/>
      <c r="I2" s="159"/>
    </row>
    <row r="3" spans="1:22" x14ac:dyDescent="0.25">
      <c r="A3" s="158" t="s">
        <v>1</v>
      </c>
      <c r="B3" s="158"/>
      <c r="C3" s="158"/>
      <c r="D3" s="158"/>
      <c r="E3" s="158"/>
      <c r="F3" s="158"/>
      <c r="G3" s="158"/>
      <c r="H3" s="158"/>
      <c r="I3" s="158"/>
    </row>
    <row r="4" spans="1:22" x14ac:dyDescent="0.25">
      <c r="A4" s="160">
        <v>45473</v>
      </c>
      <c r="B4" s="160"/>
      <c r="C4" s="160"/>
      <c r="D4" s="160"/>
      <c r="E4" s="160"/>
      <c r="F4" s="160"/>
      <c r="G4" s="160"/>
      <c r="H4" s="160"/>
      <c r="I4" s="160"/>
    </row>
    <row r="5" spans="1:22" x14ac:dyDescent="0.25">
      <c r="A5" s="158" t="s">
        <v>2</v>
      </c>
      <c r="B5" s="158"/>
      <c r="C5" s="158"/>
      <c r="D5" s="158"/>
      <c r="E5" s="158"/>
      <c r="F5" s="158"/>
      <c r="G5" s="158"/>
      <c r="H5" s="158"/>
      <c r="I5" s="158"/>
    </row>
    <row r="6" spans="1:22" ht="15.75" thickBot="1" x14ac:dyDescent="0.3">
      <c r="A6" s="158"/>
      <c r="B6" s="158"/>
      <c r="C6" s="158"/>
      <c r="D6" s="158"/>
      <c r="E6" s="158"/>
      <c r="F6" s="158"/>
      <c r="G6" s="158"/>
      <c r="H6" s="158"/>
      <c r="I6" s="15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2"/>
      <c r="M7" s="132"/>
      <c r="N7" s="132"/>
      <c r="O7" s="132"/>
      <c r="P7" s="132"/>
    </row>
    <row r="8" spans="1:22" s="5" customFormat="1" x14ac:dyDescent="0.2">
      <c r="A8" s="6" t="s">
        <v>8</v>
      </c>
      <c r="B8" s="7">
        <v>10833428.23</v>
      </c>
      <c r="C8" s="7">
        <v>12274427.66</v>
      </c>
      <c r="D8" s="7">
        <v>2760053.8299999996</v>
      </c>
      <c r="E8" s="7">
        <v>34514932.93</v>
      </c>
      <c r="F8" s="7">
        <v>0</v>
      </c>
      <c r="G8" s="7">
        <f t="shared" ref="G8:G12" si="0">SUM(E8:F8)</f>
        <v>34514932.93</v>
      </c>
      <c r="H8" s="7">
        <f t="shared" ref="H8:H12" si="1">C8-G8</f>
        <v>-22240505.27</v>
      </c>
      <c r="I8" s="37">
        <f>IF(C8=0,"NA",H8/C8)</f>
        <v>-1.8119382741142001</v>
      </c>
      <c r="K8"/>
      <c r="L8" s="142"/>
      <c r="M8" s="142"/>
      <c r="N8" s="142"/>
      <c r="O8" s="142"/>
      <c r="P8" s="142"/>
      <c r="R8" s="132"/>
      <c r="S8" s="132"/>
      <c r="T8" s="132"/>
      <c r="U8" s="132"/>
      <c r="V8" s="132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1373.85</v>
      </c>
      <c r="E9" s="7">
        <v>16265.44</v>
      </c>
      <c r="F9" s="7">
        <v>0</v>
      </c>
      <c r="G9" s="7">
        <f t="shared" si="0"/>
        <v>16265.44</v>
      </c>
      <c r="H9" s="7">
        <f t="shared" si="1"/>
        <v>-16265.44</v>
      </c>
      <c r="I9" s="37" t="str">
        <f>IF(C9=0,"NA",H9/C9)</f>
        <v>NA</v>
      </c>
      <c r="K9"/>
      <c r="L9" s="142"/>
      <c r="M9" s="142"/>
      <c r="N9" s="142"/>
      <c r="O9" s="142"/>
      <c r="P9" s="142"/>
      <c r="R9" s="132"/>
      <c r="S9" s="132"/>
      <c r="T9" s="132"/>
      <c r="U9" s="132"/>
      <c r="V9" s="132"/>
    </row>
    <row r="10" spans="1:22" s="5" customFormat="1" x14ac:dyDescent="0.2">
      <c r="A10" s="6" t="s">
        <v>10</v>
      </c>
      <c r="B10" s="7">
        <v>15128596</v>
      </c>
      <c r="C10" s="7">
        <v>22735957</v>
      </c>
      <c r="D10" s="7">
        <v>5880318.7199999997</v>
      </c>
      <c r="E10" s="7">
        <v>23447492.110000003</v>
      </c>
      <c r="F10" s="7">
        <v>0</v>
      </c>
      <c r="G10" s="7">
        <f t="shared" si="0"/>
        <v>23447492.110000003</v>
      </c>
      <c r="H10" s="7">
        <f t="shared" si="1"/>
        <v>-711535.11000000313</v>
      </c>
      <c r="I10" s="37">
        <f>IF(C10=0,"NA",H10/C10)</f>
        <v>-3.1295586546016212E-2</v>
      </c>
      <c r="K10"/>
      <c r="L10" s="142"/>
      <c r="M10" s="142"/>
      <c r="N10" s="142"/>
      <c r="O10" s="142"/>
      <c r="P10" s="142"/>
      <c r="R10" s="132"/>
      <c r="S10" s="132"/>
      <c r="T10" s="132"/>
      <c r="U10" s="132"/>
      <c r="V10" s="132"/>
    </row>
    <row r="11" spans="1:22" s="5" customFormat="1" x14ac:dyDescent="0.2">
      <c r="A11" s="6" t="s">
        <v>74</v>
      </c>
      <c r="B11" s="7">
        <v>433112761.76999998</v>
      </c>
      <c r="C11" s="7">
        <v>701580614.71000004</v>
      </c>
      <c r="D11" s="7">
        <v>55404858.009999998</v>
      </c>
      <c r="E11" s="7">
        <v>212967757.97999993</v>
      </c>
      <c r="F11" s="7">
        <v>0</v>
      </c>
      <c r="G11" s="7">
        <f t="shared" si="0"/>
        <v>212967757.97999993</v>
      </c>
      <c r="H11" s="7">
        <f t="shared" si="1"/>
        <v>488612856.73000014</v>
      </c>
      <c r="I11" s="37">
        <f>IF(C11=0,"NA",H11/C11)</f>
        <v>0.69644577755611081</v>
      </c>
      <c r="K11"/>
      <c r="L11" s="142"/>
      <c r="M11" s="142"/>
      <c r="N11" s="142"/>
      <c r="O11" s="142"/>
      <c r="P11" s="142"/>
      <c r="R11" s="132"/>
      <c r="S11" s="132"/>
      <c r="T11" s="132"/>
      <c r="U11" s="132"/>
      <c r="V11" s="132"/>
    </row>
    <row r="12" spans="1:22" s="5" customFormat="1" x14ac:dyDescent="0.2">
      <c r="A12" s="8" t="s">
        <v>11</v>
      </c>
      <c r="B12" s="7">
        <v>4998766</v>
      </c>
      <c r="C12" s="7">
        <v>5468766</v>
      </c>
      <c r="D12" s="7">
        <v>43965.95</v>
      </c>
      <c r="E12" s="7">
        <v>2082655.5999999999</v>
      </c>
      <c r="F12" s="7">
        <v>0</v>
      </c>
      <c r="G12" s="7">
        <f t="shared" si="0"/>
        <v>2082655.5999999999</v>
      </c>
      <c r="H12" s="7">
        <f t="shared" si="1"/>
        <v>3386110.4000000004</v>
      </c>
      <c r="I12" s="37">
        <f>IF(C12=0,"NA",H12/C12)</f>
        <v>0.61917266162055573</v>
      </c>
      <c r="K12" s="142"/>
      <c r="L12" s="142"/>
      <c r="M12" s="142"/>
      <c r="N12" s="142"/>
      <c r="O12" s="142"/>
      <c r="P12" s="142"/>
      <c r="R12" s="132"/>
      <c r="S12" s="132"/>
      <c r="T12" s="132"/>
      <c r="U12" s="132"/>
      <c r="V12" s="132"/>
    </row>
    <row r="13" spans="1:22" s="5" customFormat="1" ht="24.95" customHeight="1" x14ac:dyDescent="0.25">
      <c r="A13" s="10" t="s">
        <v>12</v>
      </c>
      <c r="B13" s="11">
        <f>SUM(B8:B12)</f>
        <v>464073552</v>
      </c>
      <c r="C13" s="11">
        <f t="shared" ref="C13:H13" si="2">SUM(C8:C12)</f>
        <v>742059765.37</v>
      </c>
      <c r="D13" s="11">
        <f t="shared" si="2"/>
        <v>64090570.359999999</v>
      </c>
      <c r="E13" s="11">
        <f t="shared" si="2"/>
        <v>273029104.05999994</v>
      </c>
      <c r="F13" s="11">
        <f t="shared" si="2"/>
        <v>0</v>
      </c>
      <c r="G13" s="11">
        <f t="shared" si="2"/>
        <v>273029104.05999994</v>
      </c>
      <c r="H13" s="11">
        <f t="shared" si="2"/>
        <v>469030661.31000012</v>
      </c>
      <c r="I13" s="34">
        <f>IF(C13=0,"",H13/C13)</f>
        <v>0.63206588363692751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45">
        <v>137644383.75000012</v>
      </c>
      <c r="C14" s="145">
        <v>269819685.30000025</v>
      </c>
      <c r="D14" s="145">
        <v>10641130.109999986</v>
      </c>
      <c r="E14" s="145">
        <v>107984174.13999979</v>
      </c>
      <c r="F14" s="145">
        <v>12657143.279999999</v>
      </c>
      <c r="G14" s="13">
        <f t="shared" ref="G14:G31" si="3">SUM(E14:F14)</f>
        <v>120641317.41999979</v>
      </c>
      <c r="H14" s="13">
        <f t="shared" ref="H14:H31" si="4">C14-G14</f>
        <v>149178367.88000047</v>
      </c>
      <c r="I14" s="35">
        <f>IF(C14=0,"NA",H14/C14)</f>
        <v>0.55288170584787322</v>
      </c>
      <c r="L14" s="132"/>
      <c r="M14" s="132"/>
      <c r="N14" s="132"/>
      <c r="O14" s="132"/>
      <c r="P14" s="132"/>
      <c r="R14" s="132"/>
      <c r="S14" s="132"/>
      <c r="T14" s="132"/>
      <c r="U14" s="132"/>
      <c r="V14" s="132"/>
    </row>
    <row r="15" spans="1:22" s="5" customFormat="1" x14ac:dyDescent="0.2">
      <c r="A15" s="6" t="s">
        <v>14</v>
      </c>
      <c r="B15" s="146">
        <v>44719620.329999998</v>
      </c>
      <c r="C15" s="146">
        <v>61061391.689999931</v>
      </c>
      <c r="D15" s="146">
        <v>2872149.3599999989</v>
      </c>
      <c r="E15" s="146">
        <v>29145575.850000009</v>
      </c>
      <c r="F15" s="146">
        <v>3138278.82</v>
      </c>
      <c r="G15" s="7">
        <f t="shared" si="3"/>
        <v>32283854.670000009</v>
      </c>
      <c r="H15" s="7">
        <f t="shared" si="4"/>
        <v>28777537.019999921</v>
      </c>
      <c r="I15" s="37">
        <f t="shared" ref="I15:I31" si="5">IF(C15=0,"NA",H15/C15)</f>
        <v>0.4712885871664933</v>
      </c>
      <c r="L15" s="132"/>
      <c r="M15" s="132"/>
      <c r="N15" s="132"/>
      <c r="O15" s="132"/>
      <c r="P15" s="132"/>
      <c r="R15" s="132"/>
      <c r="S15" s="132"/>
      <c r="T15" s="132"/>
      <c r="U15" s="132"/>
      <c r="V15" s="132"/>
    </row>
    <row r="16" spans="1:22" s="5" customFormat="1" x14ac:dyDescent="0.2">
      <c r="A16" s="6" t="s">
        <v>15</v>
      </c>
      <c r="B16" s="146">
        <v>28655586.379999999</v>
      </c>
      <c r="C16" s="146">
        <v>5481791.8899999978</v>
      </c>
      <c r="D16" s="146">
        <v>194939.62</v>
      </c>
      <c r="E16" s="146">
        <v>2257624.6700000023</v>
      </c>
      <c r="F16" s="146">
        <v>62244.649999999994</v>
      </c>
      <c r="G16" s="7">
        <f t="shared" si="3"/>
        <v>2319869.3200000022</v>
      </c>
      <c r="H16" s="7">
        <f t="shared" si="4"/>
        <v>3161922.5699999956</v>
      </c>
      <c r="I16" s="37">
        <f t="shared" si="5"/>
        <v>0.57680456198420127</v>
      </c>
      <c r="L16" s="132"/>
      <c r="M16" s="132"/>
      <c r="N16" s="132"/>
      <c r="O16" s="132"/>
      <c r="P16" s="132"/>
      <c r="R16" s="132"/>
      <c r="S16" s="132"/>
      <c r="T16" s="132"/>
      <c r="U16" s="132"/>
      <c r="V16" s="132"/>
    </row>
    <row r="17" spans="1:22" s="5" customFormat="1" x14ac:dyDescent="0.2">
      <c r="A17" s="6" t="s">
        <v>16</v>
      </c>
      <c r="B17" s="146">
        <v>51815596.170000002</v>
      </c>
      <c r="C17" s="146">
        <v>66782595.750000052</v>
      </c>
      <c r="D17" s="146">
        <v>2735365.82</v>
      </c>
      <c r="E17" s="146">
        <v>24586311.890000004</v>
      </c>
      <c r="F17" s="146">
        <v>507949.93999999994</v>
      </c>
      <c r="G17" s="7">
        <f t="shared" si="3"/>
        <v>25094261.830000006</v>
      </c>
      <c r="H17" s="7">
        <f t="shared" si="4"/>
        <v>41688333.920000046</v>
      </c>
      <c r="I17" s="37">
        <f t="shared" si="5"/>
        <v>0.62423949611153018</v>
      </c>
      <c r="L17" s="132"/>
      <c r="M17" s="132"/>
      <c r="N17" s="132"/>
      <c r="O17" s="132"/>
      <c r="P17" s="132"/>
      <c r="R17" s="132"/>
      <c r="S17" s="132"/>
      <c r="T17" s="132"/>
      <c r="U17" s="132"/>
      <c r="V17" s="132"/>
    </row>
    <row r="18" spans="1:22" s="5" customFormat="1" x14ac:dyDescent="0.2">
      <c r="A18" s="6" t="s">
        <v>17</v>
      </c>
      <c r="B18" s="146">
        <v>2893575</v>
      </c>
      <c r="C18" s="146">
        <v>3199766</v>
      </c>
      <c r="D18" s="146">
        <v>0</v>
      </c>
      <c r="E18" s="146">
        <v>320701.74</v>
      </c>
      <c r="F18" s="146">
        <v>43517.88</v>
      </c>
      <c r="G18" s="7">
        <f t="shared" si="3"/>
        <v>364219.62</v>
      </c>
      <c r="H18" s="7">
        <f t="shared" si="4"/>
        <v>2835546.38</v>
      </c>
      <c r="I18" s="37">
        <f t="shared" si="5"/>
        <v>0.88617304515392681</v>
      </c>
      <c r="L18" s="132"/>
      <c r="M18" s="132"/>
      <c r="N18" s="132"/>
      <c r="O18" s="132"/>
      <c r="P18" s="132"/>
      <c r="R18" s="132"/>
      <c r="S18" s="132"/>
      <c r="T18" s="132"/>
      <c r="U18" s="132"/>
      <c r="V18" s="132"/>
    </row>
    <row r="19" spans="1:22" s="5" customFormat="1" x14ac:dyDescent="0.2">
      <c r="A19" s="6" t="s">
        <v>71</v>
      </c>
      <c r="B19" s="146">
        <v>3685807.4299999988</v>
      </c>
      <c r="C19" s="146">
        <v>9139320.6500000022</v>
      </c>
      <c r="D19" s="146">
        <v>412718.77999999991</v>
      </c>
      <c r="E19" s="146">
        <v>4627511.410000002</v>
      </c>
      <c r="F19" s="146">
        <v>29609.91</v>
      </c>
      <c r="G19" s="7">
        <f>SUM(E19:F19)</f>
        <v>4657121.3200000022</v>
      </c>
      <c r="H19" s="7">
        <f>C19-G19</f>
        <v>4482199.33</v>
      </c>
      <c r="I19" s="37">
        <f t="shared" si="5"/>
        <v>0.49043025205598834</v>
      </c>
      <c r="L19" s="132"/>
      <c r="M19" s="132"/>
      <c r="N19" s="132"/>
      <c r="O19" s="132"/>
      <c r="P19" s="132"/>
      <c r="R19" s="132"/>
      <c r="S19" s="132"/>
      <c r="T19" s="132"/>
      <c r="U19" s="132"/>
      <c r="V19" s="132"/>
    </row>
    <row r="20" spans="1:22" s="5" customFormat="1" x14ac:dyDescent="0.2">
      <c r="A20" s="6" t="s">
        <v>18</v>
      </c>
      <c r="B20" s="146">
        <v>52376285.68</v>
      </c>
      <c r="C20" s="146">
        <v>51678003.009999998</v>
      </c>
      <c r="D20" s="146">
        <v>165130.13</v>
      </c>
      <c r="E20" s="146">
        <v>6430176.7400000002</v>
      </c>
      <c r="F20" s="146">
        <v>1419.42</v>
      </c>
      <c r="G20" s="7">
        <f t="shared" si="3"/>
        <v>6431596.1600000001</v>
      </c>
      <c r="H20" s="7">
        <f t="shared" si="4"/>
        <v>45246406.849999994</v>
      </c>
      <c r="I20" s="37">
        <f t="shared" si="5"/>
        <v>0.87554480077809016</v>
      </c>
      <c r="L20" s="132"/>
      <c r="M20" s="132"/>
      <c r="N20" s="132"/>
      <c r="O20" s="132"/>
      <c r="P20" s="132"/>
      <c r="R20" s="132"/>
      <c r="S20" s="132"/>
      <c r="T20" s="132"/>
      <c r="U20" s="132"/>
      <c r="V20" s="132"/>
    </row>
    <row r="21" spans="1:22" s="5" customFormat="1" x14ac:dyDescent="0.2">
      <c r="A21" s="6" t="s">
        <v>19</v>
      </c>
      <c r="B21" s="146">
        <v>27958822.82</v>
      </c>
      <c r="C21" s="146">
        <v>6578274.2799999965</v>
      </c>
      <c r="D21" s="146">
        <v>413935.25</v>
      </c>
      <c r="E21" s="146">
        <v>2695434.53</v>
      </c>
      <c r="F21" s="146">
        <v>0</v>
      </c>
      <c r="G21" s="7">
        <f t="shared" si="3"/>
        <v>2695434.53</v>
      </c>
      <c r="H21" s="7">
        <f t="shared" si="4"/>
        <v>3882839.7499999967</v>
      </c>
      <c r="I21" s="37">
        <f t="shared" si="5"/>
        <v>0.59025203035468432</v>
      </c>
      <c r="L21" s="132"/>
      <c r="M21" s="132"/>
      <c r="N21" s="132"/>
      <c r="O21" s="132"/>
      <c r="P21" s="132"/>
      <c r="R21" s="132"/>
      <c r="S21" s="132"/>
      <c r="T21" s="132"/>
      <c r="U21" s="132"/>
      <c r="V21" s="132"/>
    </row>
    <row r="22" spans="1:22" s="5" customFormat="1" x14ac:dyDescent="0.2">
      <c r="A22" s="6" t="s">
        <v>20</v>
      </c>
      <c r="B22" s="146">
        <v>26102645</v>
      </c>
      <c r="C22" s="146">
        <v>1365901.35</v>
      </c>
      <c r="D22" s="146">
        <v>40175.9</v>
      </c>
      <c r="E22" s="146">
        <v>622258.40999999992</v>
      </c>
      <c r="F22" s="146">
        <v>278970.34000000003</v>
      </c>
      <c r="G22" s="7">
        <f t="shared" si="3"/>
        <v>901228.75</v>
      </c>
      <c r="H22" s="7">
        <f t="shared" si="4"/>
        <v>464672.60000000009</v>
      </c>
      <c r="I22" s="37">
        <f t="shared" si="5"/>
        <v>0.34019484642869713</v>
      </c>
      <c r="L22" s="132"/>
      <c r="M22" s="132"/>
      <c r="N22" s="132"/>
      <c r="O22" s="132"/>
      <c r="P22" s="132"/>
      <c r="R22" s="132"/>
      <c r="S22" s="132"/>
      <c r="T22" s="132"/>
      <c r="U22" s="132"/>
      <c r="V22" s="132"/>
    </row>
    <row r="23" spans="1:22" s="5" customFormat="1" x14ac:dyDescent="0.2">
      <c r="A23" s="6" t="s">
        <v>70</v>
      </c>
      <c r="B23" s="146">
        <v>75241413.420000002</v>
      </c>
      <c r="C23" s="146">
        <v>65863879.770000003</v>
      </c>
      <c r="D23" s="146">
        <v>1030233.1000000002</v>
      </c>
      <c r="E23" s="146">
        <v>5933425.8099999977</v>
      </c>
      <c r="F23" s="146">
        <v>1730901.4900000002</v>
      </c>
      <c r="G23" s="7">
        <f t="shared" si="3"/>
        <v>7664327.299999998</v>
      </c>
      <c r="H23" s="7">
        <f t="shared" si="4"/>
        <v>58199552.470000006</v>
      </c>
      <c r="I23" s="37">
        <f t="shared" si="5"/>
        <v>0.88363383197643053</v>
      </c>
      <c r="L23" s="132"/>
      <c r="M23" s="132"/>
      <c r="N23" s="132"/>
      <c r="O23" s="132"/>
      <c r="P23" s="132"/>
      <c r="R23" s="132"/>
      <c r="S23" s="132"/>
      <c r="T23" s="132"/>
      <c r="U23" s="132"/>
      <c r="V23" s="132"/>
    </row>
    <row r="24" spans="1:22" s="5" customFormat="1" x14ac:dyDescent="0.2">
      <c r="A24" s="6" t="s">
        <v>21</v>
      </c>
      <c r="B24" s="146">
        <v>27785842.510000002</v>
      </c>
      <c r="C24" s="146">
        <v>26969394.669999998</v>
      </c>
      <c r="D24" s="146">
        <v>598568.15999999992</v>
      </c>
      <c r="E24" s="146">
        <v>5780561.2000000002</v>
      </c>
      <c r="F24" s="146">
        <v>2309896.9800000004</v>
      </c>
      <c r="G24" s="7">
        <f t="shared" si="3"/>
        <v>8090458.1800000006</v>
      </c>
      <c r="H24" s="7">
        <f t="shared" si="4"/>
        <v>18878936.489999998</v>
      </c>
      <c r="I24" s="37">
        <f t="shared" si="5"/>
        <v>0.70001335665870179</v>
      </c>
      <c r="L24" s="132"/>
      <c r="M24" s="132"/>
      <c r="N24" s="132"/>
      <c r="O24" s="132"/>
      <c r="P24" s="132"/>
      <c r="R24" s="132"/>
      <c r="S24" s="132"/>
      <c r="T24" s="132"/>
      <c r="U24" s="132"/>
      <c r="V24" s="132"/>
    </row>
    <row r="25" spans="1:22" s="5" customFormat="1" x14ac:dyDescent="0.2">
      <c r="A25" s="6" t="s">
        <v>22</v>
      </c>
      <c r="B25" s="146">
        <v>81059163.539999992</v>
      </c>
      <c r="C25" s="146">
        <v>5998210.3200000012</v>
      </c>
      <c r="D25" s="146">
        <v>204034.07</v>
      </c>
      <c r="E25" s="146">
        <v>2062701.8799999994</v>
      </c>
      <c r="F25" s="146">
        <v>49035.61</v>
      </c>
      <c r="G25" s="7">
        <f t="shared" si="3"/>
        <v>2111737.4899999993</v>
      </c>
      <c r="H25" s="7">
        <f t="shared" si="4"/>
        <v>3886472.8300000019</v>
      </c>
      <c r="I25" s="37">
        <f t="shared" si="5"/>
        <v>0.64793873883368613</v>
      </c>
      <c r="L25" s="132"/>
      <c r="M25" s="132"/>
      <c r="N25" s="132"/>
      <c r="O25" s="132"/>
      <c r="P25" s="132"/>
      <c r="R25" s="132"/>
      <c r="S25" s="132"/>
      <c r="T25" s="132"/>
      <c r="U25" s="132"/>
      <c r="V25" s="132"/>
    </row>
    <row r="26" spans="1:22" s="5" customFormat="1" x14ac:dyDescent="0.2">
      <c r="A26" s="6" t="s">
        <v>23</v>
      </c>
      <c r="B26" s="146">
        <v>39004</v>
      </c>
      <c r="C26" s="146">
        <v>649922.14</v>
      </c>
      <c r="D26" s="146">
        <v>20969.23</v>
      </c>
      <c r="E26" s="146">
        <v>380308.82999999996</v>
      </c>
      <c r="F26" s="146">
        <v>158764.79999999999</v>
      </c>
      <c r="G26" s="7">
        <f t="shared" si="3"/>
        <v>539073.62999999989</v>
      </c>
      <c r="H26" s="7">
        <f t="shared" si="4"/>
        <v>110848.51000000013</v>
      </c>
      <c r="I26" s="37">
        <f t="shared" si="5"/>
        <v>0.17055659928741637</v>
      </c>
      <c r="L26" s="132"/>
      <c r="M26" s="132"/>
      <c r="N26" s="132"/>
      <c r="O26" s="132"/>
      <c r="P26" s="132"/>
      <c r="R26" s="132"/>
      <c r="S26" s="132"/>
      <c r="T26" s="132"/>
      <c r="U26" s="132"/>
      <c r="V26" s="132"/>
    </row>
    <row r="27" spans="1:22" s="5" customFormat="1" x14ac:dyDescent="0.2">
      <c r="A27" s="6" t="s">
        <v>29</v>
      </c>
      <c r="B27" s="146">
        <v>53747141</v>
      </c>
      <c r="C27" s="146">
        <v>21747913.359999999</v>
      </c>
      <c r="D27" s="146">
        <v>982.02</v>
      </c>
      <c r="E27" s="146">
        <v>1521509.68</v>
      </c>
      <c r="F27" s="146">
        <v>0</v>
      </c>
      <c r="G27" s="7">
        <f t="shared" si="3"/>
        <v>1521509.68</v>
      </c>
      <c r="H27" s="7">
        <f t="shared" si="4"/>
        <v>20226403.68</v>
      </c>
      <c r="I27" s="37">
        <f t="shared" si="5"/>
        <v>0.93003882005533245</v>
      </c>
      <c r="L27" s="132"/>
      <c r="M27" s="132"/>
      <c r="N27" s="132"/>
      <c r="O27" s="132"/>
      <c r="P27" s="132"/>
      <c r="R27" s="132"/>
      <c r="S27" s="132"/>
      <c r="T27" s="132"/>
      <c r="U27" s="132"/>
      <c r="V27" s="132"/>
    </row>
    <row r="28" spans="1:22" s="5" customFormat="1" x14ac:dyDescent="0.2">
      <c r="A28" s="6" t="s">
        <v>30</v>
      </c>
      <c r="B28" s="146">
        <v>1897082.28</v>
      </c>
      <c r="C28" s="146">
        <v>3045352.2800000003</v>
      </c>
      <c r="D28" s="146">
        <v>270413.51999999996</v>
      </c>
      <c r="E28" s="146">
        <v>2647673.23</v>
      </c>
      <c r="F28" s="146">
        <v>306317.52999999997</v>
      </c>
      <c r="G28" s="7">
        <f t="shared" si="3"/>
        <v>2953990.76</v>
      </c>
      <c r="H28" s="7">
        <f t="shared" si="4"/>
        <v>91361.520000000484</v>
      </c>
      <c r="I28" s="37">
        <f t="shared" si="5"/>
        <v>3.0000312476164654E-2</v>
      </c>
      <c r="L28" s="132"/>
      <c r="M28" s="132"/>
      <c r="N28" s="132"/>
      <c r="O28" s="132"/>
      <c r="P28" s="132"/>
      <c r="R28" s="132"/>
      <c r="S28" s="132"/>
      <c r="T28" s="132"/>
      <c r="U28" s="132"/>
      <c r="V28" s="132"/>
    </row>
    <row r="29" spans="1:22" s="5" customFormat="1" x14ac:dyDescent="0.2">
      <c r="A29" s="6" t="s">
        <v>72</v>
      </c>
      <c r="B29" s="147">
        <v>0</v>
      </c>
      <c r="C29" s="147">
        <v>0</v>
      </c>
      <c r="D29" s="147">
        <v>0</v>
      </c>
      <c r="E29" s="147">
        <v>0</v>
      </c>
      <c r="F29" s="147">
        <v>0</v>
      </c>
      <c r="G29" s="7">
        <f t="shared" ref="G29" si="6">SUM(E29:F29)</f>
        <v>0</v>
      </c>
      <c r="H29" s="7">
        <f t="shared" ref="H29" si="7">C29-G29</f>
        <v>0</v>
      </c>
      <c r="I29" s="37" t="str">
        <f t="shared" si="5"/>
        <v>NA</v>
      </c>
      <c r="R29" s="132"/>
      <c r="S29" s="132"/>
      <c r="T29" s="132"/>
      <c r="U29" s="132"/>
      <c r="V29" s="132"/>
    </row>
    <row r="30" spans="1:22" s="5" customFormat="1" x14ac:dyDescent="0.2">
      <c r="A30" s="6" t="s">
        <v>73</v>
      </c>
      <c r="B30" s="146">
        <v>158786775.39999995</v>
      </c>
      <c r="C30" s="146">
        <v>132240968.49999996</v>
      </c>
      <c r="D30" s="146">
        <v>4664012.879999999</v>
      </c>
      <c r="E30" s="146">
        <v>20154571.110000025</v>
      </c>
      <c r="F30" s="146">
        <v>1411226.03</v>
      </c>
      <c r="G30" s="7">
        <f t="shared" ref="G30" si="8">SUM(E30:F30)</f>
        <v>21565797.140000027</v>
      </c>
      <c r="H30" s="7">
        <f t="shared" ref="H30" si="9">C30-G30</f>
        <v>110675171.35999992</v>
      </c>
      <c r="I30" s="37">
        <f t="shared" si="5"/>
        <v>0.83692045373971957</v>
      </c>
      <c r="L30" s="132"/>
      <c r="M30" s="132"/>
      <c r="N30" s="132"/>
      <c r="O30" s="132"/>
      <c r="P30" s="132"/>
      <c r="R30" s="132"/>
      <c r="S30" s="132"/>
      <c r="T30" s="132"/>
      <c r="U30" s="132"/>
      <c r="V30" s="132"/>
    </row>
    <row r="31" spans="1:22" s="5" customFormat="1" x14ac:dyDescent="0.2">
      <c r="A31" s="6" t="s">
        <v>25</v>
      </c>
      <c r="B31" s="148">
        <v>891245</v>
      </c>
      <c r="C31" s="148">
        <v>881987</v>
      </c>
      <c r="D31" s="148">
        <v>659785.63999999978</v>
      </c>
      <c r="E31" s="148">
        <v>19326608.880000003</v>
      </c>
      <c r="F31" s="148">
        <v>0</v>
      </c>
      <c r="G31" s="9">
        <f t="shared" si="3"/>
        <v>19326608.880000003</v>
      </c>
      <c r="H31" s="9">
        <f t="shared" si="4"/>
        <v>-18444621.880000003</v>
      </c>
      <c r="I31" s="37">
        <f t="shared" si="5"/>
        <v>-20.91257794049119</v>
      </c>
      <c r="L31" s="132"/>
      <c r="M31" s="132"/>
      <c r="N31" s="132"/>
      <c r="O31" s="132"/>
      <c r="P31" s="132"/>
      <c r="R31" s="132"/>
      <c r="S31" s="132"/>
      <c r="T31" s="132"/>
      <c r="U31" s="132"/>
      <c r="V31" s="132"/>
    </row>
    <row r="32" spans="1:22" s="5" customFormat="1" ht="24.95" customHeight="1" x14ac:dyDescent="0.25">
      <c r="A32" s="10" t="s">
        <v>26</v>
      </c>
      <c r="B32" s="11">
        <f t="shared" ref="B32:H32" si="10">SUM(B14:B31)</f>
        <v>775299989.71000004</v>
      </c>
      <c r="C32" s="11">
        <f t="shared" si="10"/>
        <v>732504357.96000016</v>
      </c>
      <c r="D32" s="11">
        <f t="shared" si="10"/>
        <v>24924543.589999985</v>
      </c>
      <c r="E32" s="11">
        <f t="shared" si="10"/>
        <v>236477129.99999985</v>
      </c>
      <c r="F32" s="11">
        <f t="shared" si="10"/>
        <v>22685276.680000003</v>
      </c>
      <c r="G32" s="11">
        <f t="shared" si="10"/>
        <v>259162406.67999983</v>
      </c>
      <c r="H32" s="11">
        <f t="shared" si="10"/>
        <v>473341951.28000033</v>
      </c>
      <c r="I32" s="34">
        <f>IF(C32=0,"",H32/C32)</f>
        <v>0.64619677157722533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2"/>
      <c r="M33" s="132"/>
      <c r="N33" s="132"/>
      <c r="O33" s="132"/>
      <c r="P33" s="132"/>
    </row>
    <row r="34" spans="1:16" s="5" customFormat="1" x14ac:dyDescent="0.2">
      <c r="A34" s="6" t="s">
        <v>27</v>
      </c>
      <c r="B34" s="7">
        <f>B13-B32</f>
        <v>-311226437.71000004</v>
      </c>
      <c r="C34" s="7">
        <f>C13-C32</f>
        <v>9555407.4099998474</v>
      </c>
      <c r="D34" s="7">
        <f>D13-D32</f>
        <v>39166026.770000011</v>
      </c>
      <c r="E34" s="7">
        <f>E13-E32</f>
        <v>36551974.060000092</v>
      </c>
      <c r="F34" s="7"/>
      <c r="G34" s="7">
        <f>G13-G32</f>
        <v>13866697.380000114</v>
      </c>
      <c r="H34" s="7">
        <f>H13-H32</f>
        <v>-4311289.9700002074</v>
      </c>
      <c r="I34" s="16"/>
      <c r="L34" s="132"/>
      <c r="M34" s="132"/>
      <c r="N34" s="132"/>
      <c r="O34" s="132"/>
      <c r="P34" s="132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2"/>
      <c r="L35" s="132"/>
      <c r="M35" s="132"/>
      <c r="N35" s="132"/>
      <c r="O35" s="132"/>
      <c r="P35" s="132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2"/>
      <c r="M36" s="132"/>
      <c r="N36" s="132"/>
      <c r="O36" s="132"/>
      <c r="P36" s="132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36551974.060000092</v>
      </c>
      <c r="F37" s="24"/>
      <c r="G37" s="24">
        <f>SUM(G34:G36)</f>
        <v>13866697.380000114</v>
      </c>
      <c r="H37" s="24"/>
      <c r="I37" s="25"/>
      <c r="L37" s="132"/>
      <c r="M37" s="132"/>
      <c r="N37" s="132"/>
      <c r="O37" s="132"/>
      <c r="P37" s="132"/>
    </row>
    <row r="38" spans="1:16" s="5" customFormat="1" x14ac:dyDescent="0.2">
      <c r="B38" s="31"/>
      <c r="C38" s="31"/>
      <c r="D38" s="31"/>
      <c r="E38" s="31"/>
      <c r="F38" s="31"/>
      <c r="G38" s="31"/>
      <c r="H38" s="31"/>
      <c r="L38" s="132"/>
      <c r="M38" s="132"/>
      <c r="N38" s="132"/>
      <c r="O38" s="132"/>
      <c r="P38" s="132"/>
    </row>
    <row r="39" spans="1:16" x14ac:dyDescent="0.25">
      <c r="I39" s="28"/>
      <c r="J39" s="131"/>
      <c r="K39" s="131"/>
      <c r="O39" s="1"/>
      <c r="P39" s="1"/>
    </row>
    <row r="40" spans="1:16" x14ac:dyDescent="0.25">
      <c r="B40" s="131"/>
      <c r="C40" s="131"/>
      <c r="D40" s="131"/>
      <c r="E40" s="131"/>
      <c r="F40" s="131"/>
      <c r="G40" s="131"/>
      <c r="H40" s="131"/>
      <c r="L40" s="1"/>
      <c r="M40" s="1"/>
      <c r="N40" s="1"/>
      <c r="O40" s="1"/>
      <c r="P40" s="1"/>
    </row>
    <row r="41" spans="1:16" x14ac:dyDescent="0.25">
      <c r="B41" s="131"/>
      <c r="C41" s="131"/>
      <c r="D41" s="131"/>
      <c r="E41" s="131"/>
      <c r="F41" s="131"/>
      <c r="G41" s="131"/>
      <c r="H41" s="131"/>
      <c r="L41" s="1"/>
      <c r="M41" s="1"/>
      <c r="N41" s="1"/>
      <c r="O41" s="1"/>
      <c r="P41" s="1"/>
    </row>
    <row r="42" spans="1:16" x14ac:dyDescent="0.25">
      <c r="B42" s="131"/>
      <c r="C42" s="131"/>
      <c r="D42" s="131"/>
      <c r="E42" s="131"/>
      <c r="F42" s="131"/>
      <c r="G42" s="131"/>
      <c r="H42" s="131"/>
      <c r="L42" s="1"/>
      <c r="M42" s="1"/>
      <c r="N42" s="1"/>
      <c r="O42" s="1"/>
      <c r="P42" s="1"/>
    </row>
    <row r="43" spans="1:16" x14ac:dyDescent="0.25">
      <c r="B43" s="131"/>
      <c r="C43" s="1"/>
      <c r="D43" s="1"/>
      <c r="E43" s="1"/>
      <c r="F43" s="1"/>
      <c r="G43" s="1"/>
      <c r="H43" s="1"/>
      <c r="L43" s="1"/>
      <c r="M43" s="1"/>
      <c r="N43" s="1"/>
      <c r="O43" s="1"/>
      <c r="P43" s="1"/>
    </row>
    <row r="44" spans="1:16" x14ac:dyDescent="0.25">
      <c r="B44" s="131"/>
      <c r="C44" s="1"/>
      <c r="D44" s="1"/>
      <c r="E44" s="1"/>
      <c r="F44" s="1"/>
      <c r="G44" s="1"/>
      <c r="H44" s="1"/>
      <c r="L44" s="1"/>
      <c r="M44" s="1"/>
      <c r="N44" s="1"/>
      <c r="O44" s="1"/>
      <c r="P44" s="1"/>
    </row>
    <row r="45" spans="1:16" x14ac:dyDescent="0.25">
      <c r="B45" s="131"/>
      <c r="C45" s="1"/>
      <c r="D45" s="1"/>
      <c r="E45" s="1"/>
      <c r="F45" s="1"/>
      <c r="G45" s="1"/>
      <c r="H45" s="1"/>
      <c r="L45" s="1"/>
      <c r="M45" s="1"/>
      <c r="N45" s="1"/>
      <c r="O45" s="1"/>
      <c r="P45" s="1"/>
    </row>
    <row r="46" spans="1:16" x14ac:dyDescent="0.25">
      <c r="B46" s="131"/>
      <c r="C46" s="131"/>
      <c r="D46" s="131"/>
      <c r="E46" s="131"/>
      <c r="F46" s="131"/>
      <c r="G46" s="131"/>
      <c r="H46" s="131"/>
      <c r="I46" s="131"/>
      <c r="L46" s="1"/>
      <c r="M46" s="1"/>
      <c r="N46" s="1"/>
      <c r="O46" s="1"/>
      <c r="P46" s="1"/>
    </row>
    <row r="47" spans="1:16" x14ac:dyDescent="0.25">
      <c r="B47" s="131"/>
      <c r="C47" s="131"/>
      <c r="D47" s="131"/>
      <c r="E47" s="131"/>
      <c r="F47" s="131"/>
      <c r="G47" s="131"/>
      <c r="H47" s="131"/>
      <c r="I47" s="131"/>
      <c r="L47" s="1"/>
      <c r="M47" s="1"/>
      <c r="N47" s="1"/>
      <c r="O47" s="1"/>
      <c r="P47" s="1"/>
    </row>
    <row r="48" spans="1:16" x14ac:dyDescent="0.25">
      <c r="B48" s="131"/>
      <c r="C48" s="131"/>
      <c r="D48" s="131"/>
      <c r="E48" s="131"/>
      <c r="F48" s="131"/>
      <c r="G48" s="131"/>
      <c r="H48" s="131"/>
      <c r="I48" s="131"/>
      <c r="L48" s="1"/>
      <c r="M48" s="1"/>
      <c r="N48" s="1"/>
      <c r="O48" s="1"/>
      <c r="P48" s="1"/>
    </row>
    <row r="49" spans="2:16" x14ac:dyDescent="0.25">
      <c r="B49" s="131"/>
      <c r="C49" s="131"/>
      <c r="D49" s="131"/>
      <c r="E49" s="131"/>
      <c r="F49" s="131"/>
      <c r="G49" s="131"/>
      <c r="H49" s="131"/>
      <c r="I49" s="131"/>
      <c r="L49" s="1"/>
      <c r="M49" s="1"/>
      <c r="N49" s="1"/>
      <c r="O49" s="1"/>
      <c r="P49" s="1"/>
    </row>
    <row r="50" spans="2:16" x14ac:dyDescent="0.25">
      <c r="B50" s="131"/>
      <c r="C50" s="131"/>
      <c r="D50" s="131"/>
      <c r="E50" s="131"/>
      <c r="F50" s="131"/>
      <c r="G50" s="1"/>
      <c r="H50" s="1"/>
      <c r="L50" s="1"/>
      <c r="M50" s="1"/>
      <c r="N50" s="1"/>
      <c r="O50" s="1"/>
      <c r="P50" s="1"/>
    </row>
    <row r="51" spans="2:16" x14ac:dyDescent="0.25">
      <c r="B51" s="131"/>
      <c r="C51" s="131"/>
      <c r="D51" s="131"/>
      <c r="E51" s="131"/>
      <c r="F51" s="131"/>
      <c r="G51" s="1"/>
      <c r="H51" s="1"/>
      <c r="L51" s="1"/>
      <c r="M51" s="1"/>
      <c r="N51" s="1"/>
      <c r="O51" s="1"/>
      <c r="P51" s="1"/>
    </row>
    <row r="52" spans="2:16" x14ac:dyDescent="0.25">
      <c r="B52" s="131"/>
      <c r="C52" s="131"/>
      <c r="D52" s="131"/>
      <c r="E52" s="131"/>
      <c r="F52" s="131"/>
      <c r="G52" s="1"/>
      <c r="H52" s="1"/>
      <c r="L52" s="1"/>
      <c r="M52" s="1"/>
      <c r="N52" s="1"/>
      <c r="O52" s="1"/>
      <c r="P52" s="1"/>
    </row>
    <row r="53" spans="2:16" x14ac:dyDescent="0.25">
      <c r="B53" s="131"/>
      <c r="C53" s="131"/>
      <c r="D53" s="131"/>
      <c r="E53" s="131"/>
      <c r="F53" s="131"/>
      <c r="G53" s="1"/>
      <c r="H53" s="1"/>
      <c r="L53" s="1"/>
      <c r="M53" s="1"/>
      <c r="N53" s="1"/>
      <c r="O53" s="1"/>
      <c r="P53" s="1"/>
    </row>
    <row r="54" spans="2:16" x14ac:dyDescent="0.25">
      <c r="B54" s="131"/>
      <c r="C54" s="131"/>
      <c r="D54" s="131"/>
      <c r="E54" s="131"/>
      <c r="F54" s="131"/>
      <c r="G54" s="131"/>
      <c r="H54" s="131"/>
      <c r="L54" s="1"/>
      <c r="M54" s="1"/>
      <c r="N54" s="1"/>
      <c r="O54" s="1"/>
      <c r="P54" s="1"/>
    </row>
    <row r="55" spans="2:16" x14ac:dyDescent="0.25">
      <c r="B55" s="131"/>
      <c r="C55" s="131"/>
      <c r="D55" s="131"/>
      <c r="E55" s="131"/>
      <c r="F55" s="131"/>
      <c r="G55" s="131"/>
      <c r="H55" s="131"/>
      <c r="L55" s="1"/>
      <c r="M55" s="1"/>
      <c r="N55" s="1"/>
      <c r="O55" s="1"/>
      <c r="P55" s="1"/>
    </row>
    <row r="56" spans="2:16" x14ac:dyDescent="0.25">
      <c r="B56" s="131"/>
      <c r="C56" s="131"/>
      <c r="D56" s="131"/>
      <c r="E56" s="131"/>
      <c r="F56" s="131"/>
      <c r="G56" s="131"/>
      <c r="H56" s="131"/>
      <c r="L56" s="1"/>
      <c r="M56" s="1"/>
      <c r="N56" s="1"/>
      <c r="O56" s="1"/>
      <c r="P56" s="1"/>
    </row>
    <row r="57" spans="2:16" x14ac:dyDescent="0.25">
      <c r="B57" s="131"/>
      <c r="C57" s="131"/>
      <c r="D57" s="131"/>
      <c r="E57" s="131"/>
      <c r="F57" s="131"/>
      <c r="G57" s="131"/>
      <c r="H57" s="131"/>
      <c r="I57" s="131"/>
      <c r="J57" s="131"/>
      <c r="L57" s="1"/>
      <c r="M57" s="1"/>
      <c r="N57" s="1"/>
      <c r="O57" s="1"/>
      <c r="P57" s="1"/>
    </row>
    <row r="58" spans="2:16" x14ac:dyDescent="0.25">
      <c r="B58" s="131"/>
      <c r="C58" s="131"/>
      <c r="D58" s="131"/>
      <c r="E58" s="131"/>
      <c r="F58" s="131"/>
      <c r="G58" s="131"/>
      <c r="H58" s="131"/>
      <c r="I58" s="131"/>
      <c r="J58" s="131"/>
      <c r="L58" s="1"/>
      <c r="M58" s="1"/>
      <c r="N58" s="1"/>
      <c r="O58" s="1"/>
      <c r="P58" s="1"/>
    </row>
    <row r="59" spans="2:16" x14ac:dyDescent="0.25">
      <c r="B59" s="131"/>
      <c r="C59" s="131"/>
      <c r="D59" s="131"/>
      <c r="E59" s="131"/>
      <c r="F59" s="131"/>
      <c r="G59" s="131"/>
      <c r="H59" s="131"/>
      <c r="I59" s="131"/>
      <c r="J59" s="131"/>
      <c r="L59" s="1"/>
      <c r="M59" s="1"/>
      <c r="N59" s="1"/>
      <c r="O59" s="1"/>
      <c r="P59" s="1"/>
    </row>
    <row r="60" spans="2:16" x14ac:dyDescent="0.25">
      <c r="B60" s="131"/>
      <c r="C60" s="131"/>
      <c r="D60" s="131"/>
      <c r="E60" s="131"/>
      <c r="F60" s="131"/>
      <c r="G60" s="131"/>
      <c r="H60" s="131"/>
      <c r="I60" s="131"/>
      <c r="J60" s="131"/>
      <c r="L60" s="1"/>
      <c r="M60" s="1"/>
      <c r="N60" s="1"/>
      <c r="O60" s="1"/>
      <c r="P60" s="1"/>
    </row>
    <row r="61" spans="2:16" x14ac:dyDescent="0.25">
      <c r="B61" s="131"/>
      <c r="C61" s="131"/>
      <c r="D61" s="131"/>
      <c r="E61" s="131"/>
      <c r="F61" s="131"/>
      <c r="G61" s="131"/>
      <c r="H61" s="131"/>
      <c r="I61" s="131"/>
      <c r="J61" s="131"/>
      <c r="L61" s="1"/>
      <c r="M61" s="1"/>
      <c r="N61" s="1"/>
      <c r="O61" s="1"/>
      <c r="P61" s="1"/>
    </row>
    <row r="62" spans="2:16" x14ac:dyDescent="0.25">
      <c r="B62" s="131"/>
      <c r="C62" s="131"/>
      <c r="D62" s="131"/>
      <c r="E62" s="131"/>
      <c r="F62" s="131"/>
      <c r="G62" s="131"/>
      <c r="H62" s="131"/>
      <c r="I62" s="131"/>
      <c r="J62" s="131"/>
      <c r="L62" s="1"/>
      <c r="M62" s="1"/>
      <c r="N62" s="1"/>
      <c r="O62" s="1"/>
      <c r="P62" s="1"/>
    </row>
    <row r="63" spans="2:16" x14ac:dyDescent="0.25">
      <c r="B63" s="131"/>
      <c r="C63" s="131"/>
      <c r="D63" s="131"/>
      <c r="E63" s="131"/>
      <c r="F63" s="131"/>
      <c r="G63" s="131"/>
      <c r="H63" s="131"/>
      <c r="I63" s="131"/>
      <c r="J63" s="131"/>
      <c r="L63" s="1"/>
      <c r="M63" s="1"/>
      <c r="N63" s="1"/>
      <c r="O63" s="1"/>
      <c r="P63" s="1"/>
    </row>
    <row r="64" spans="2:16" x14ac:dyDescent="0.25">
      <c r="B64" s="131"/>
      <c r="C64" s="131"/>
      <c r="D64" s="131"/>
      <c r="E64" s="131"/>
      <c r="F64" s="131"/>
      <c r="G64" s="131"/>
      <c r="H64" s="131"/>
      <c r="I64" s="131"/>
      <c r="J64" s="131"/>
      <c r="L64" s="1"/>
      <c r="M64" s="1"/>
      <c r="N64" s="1"/>
      <c r="O64" s="1"/>
      <c r="P64" s="1"/>
    </row>
    <row r="65" spans="2:16" x14ac:dyDescent="0.25">
      <c r="B65" s="131"/>
      <c r="C65" s="131"/>
      <c r="D65" s="131"/>
      <c r="E65" s="131"/>
      <c r="F65" s="131"/>
      <c r="G65" s="131"/>
      <c r="H65" s="131"/>
      <c r="I65" s="131"/>
      <c r="J65" s="131"/>
      <c r="L65" s="1"/>
      <c r="M65" s="1"/>
      <c r="N65" s="1"/>
      <c r="O65" s="1"/>
      <c r="P65" s="1"/>
    </row>
    <row r="66" spans="2:16" x14ac:dyDescent="0.25">
      <c r="B66" s="131"/>
      <c r="C66" s="131"/>
      <c r="D66" s="131"/>
      <c r="E66" s="131"/>
      <c r="F66" s="131"/>
      <c r="G66" s="131"/>
      <c r="H66" s="131"/>
      <c r="I66" s="131"/>
      <c r="J66" s="131"/>
      <c r="L66" s="1"/>
      <c r="M66" s="1"/>
      <c r="N66" s="1"/>
      <c r="O66" s="1"/>
      <c r="P66" s="1"/>
    </row>
    <row r="67" spans="2:16" x14ac:dyDescent="0.25">
      <c r="B67" s="131"/>
      <c r="C67" s="131"/>
      <c r="D67" s="131"/>
      <c r="E67" s="131"/>
      <c r="F67" s="131"/>
      <c r="G67" s="131"/>
      <c r="H67" s="131"/>
      <c r="I67" s="131"/>
      <c r="J67" s="131"/>
      <c r="L67" s="1"/>
      <c r="M67" s="1"/>
      <c r="N67" s="1"/>
      <c r="O67" s="1"/>
      <c r="P67" s="1"/>
    </row>
    <row r="68" spans="2:16" x14ac:dyDescent="0.25"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M68" s="1"/>
      <c r="N68" s="1"/>
      <c r="O68" s="1"/>
      <c r="P68" s="1"/>
    </row>
    <row r="69" spans="2:16" x14ac:dyDescent="0.25"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M69" s="1"/>
      <c r="N69" s="1"/>
      <c r="O69" s="1"/>
      <c r="P69" s="1"/>
    </row>
    <row r="70" spans="2:16" x14ac:dyDescent="0.25"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M70" s="1"/>
      <c r="N70" s="1"/>
      <c r="O70" s="1"/>
      <c r="P70" s="1"/>
    </row>
    <row r="71" spans="2:16" x14ac:dyDescent="0.25"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M71" s="1"/>
      <c r="N71" s="1"/>
      <c r="O71" s="1"/>
      <c r="P71" s="1"/>
    </row>
    <row r="72" spans="2:16" x14ac:dyDescent="0.25"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M72" s="1"/>
      <c r="N72" s="1"/>
      <c r="O72" s="1"/>
      <c r="P72" s="1"/>
    </row>
    <row r="73" spans="2:16" x14ac:dyDescent="0.25"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M73" s="1"/>
      <c r="N73" s="1"/>
      <c r="O73" s="1"/>
      <c r="P73" s="1"/>
    </row>
    <row r="74" spans="2:16" x14ac:dyDescent="0.25"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M74" s="1"/>
      <c r="N74" s="1"/>
      <c r="O74" s="1"/>
      <c r="P74" s="1"/>
    </row>
    <row r="75" spans="2:16" x14ac:dyDescent="0.25">
      <c r="B75" s="131"/>
      <c r="C75" s="131"/>
      <c r="D75" s="131"/>
      <c r="E75" s="131"/>
      <c r="F75" s="131"/>
      <c r="G75" s="131"/>
      <c r="H75" s="131"/>
      <c r="I75" s="28"/>
      <c r="J75" s="131"/>
      <c r="K75" s="131"/>
      <c r="O75" s="1"/>
      <c r="P75" s="1"/>
    </row>
    <row r="76" spans="2:16" x14ac:dyDescent="0.25">
      <c r="B76" s="131"/>
      <c r="C76" s="131"/>
      <c r="D76" s="131"/>
      <c r="E76" s="131"/>
      <c r="F76" s="131"/>
      <c r="G76" s="131"/>
      <c r="H76" s="131"/>
      <c r="I76" s="28"/>
      <c r="J76" s="131"/>
      <c r="K76" s="131"/>
      <c r="O76" s="1"/>
      <c r="P76" s="1"/>
    </row>
    <row r="77" spans="2:16" x14ac:dyDescent="0.25">
      <c r="B77" s="131"/>
      <c r="C77" s="131"/>
      <c r="D77" s="131"/>
      <c r="E77" s="131"/>
      <c r="F77" s="131"/>
      <c r="G77" s="131"/>
      <c r="H77" s="131"/>
      <c r="I77" s="28"/>
      <c r="J77" s="131"/>
      <c r="K77" s="131"/>
      <c r="O77" s="1"/>
      <c r="P77" s="1"/>
    </row>
    <row r="78" spans="2:16" x14ac:dyDescent="0.25">
      <c r="B78" s="131"/>
      <c r="C78" s="131"/>
      <c r="D78" s="131"/>
      <c r="E78" s="131"/>
      <c r="F78" s="131"/>
      <c r="G78" s="131"/>
      <c r="H78" s="131"/>
      <c r="I78" s="28"/>
      <c r="J78" s="131"/>
      <c r="K78" s="131"/>
      <c r="O78" s="1"/>
      <c r="P78" s="1"/>
    </row>
    <row r="79" spans="2:16" x14ac:dyDescent="0.25">
      <c r="B79" s="131"/>
      <c r="I79" s="28"/>
      <c r="J79" s="131"/>
      <c r="K79" s="131"/>
      <c r="O79" s="1"/>
      <c r="P79" s="1"/>
    </row>
    <row r="80" spans="2:16" x14ac:dyDescent="0.25">
      <c r="B80" s="131"/>
      <c r="I80" s="28"/>
      <c r="J80" s="131"/>
      <c r="K80" s="131"/>
      <c r="O80" s="1"/>
      <c r="P80" s="1"/>
    </row>
    <row r="81" spans="2:16" x14ac:dyDescent="0.25">
      <c r="B81" s="131"/>
      <c r="G81" s="1"/>
      <c r="H81" s="1"/>
      <c r="J81" s="131"/>
      <c r="K81" s="131"/>
      <c r="O81" s="1"/>
      <c r="P81" s="1"/>
    </row>
    <row r="82" spans="2:16" x14ac:dyDescent="0.25">
      <c r="B82" s="131"/>
      <c r="G82" s="1"/>
      <c r="H82" s="1"/>
      <c r="J82" s="131"/>
      <c r="K82" s="131"/>
      <c r="O82" s="1"/>
      <c r="P82" s="1"/>
    </row>
    <row r="83" spans="2:16" x14ac:dyDescent="0.25">
      <c r="B83" s="131"/>
      <c r="G83" s="1"/>
      <c r="H83" s="1"/>
      <c r="J83" s="131"/>
      <c r="K83" s="131"/>
      <c r="O83" s="1"/>
      <c r="P83" s="1"/>
    </row>
    <row r="84" spans="2:16" x14ac:dyDescent="0.25">
      <c r="B84" s="131"/>
      <c r="G84" s="1"/>
      <c r="H84" s="1"/>
      <c r="J84" s="131"/>
      <c r="K84" s="131"/>
      <c r="O84" s="1"/>
      <c r="P84" s="1"/>
    </row>
    <row r="85" spans="2:16" x14ac:dyDescent="0.25">
      <c r="B85" s="131"/>
      <c r="G85" s="1"/>
      <c r="H85" s="1"/>
      <c r="J85" s="131"/>
      <c r="K85" s="131"/>
      <c r="O85" s="1"/>
      <c r="P85" s="1"/>
    </row>
    <row r="86" spans="2:16" x14ac:dyDescent="0.25">
      <c r="B86" s="131"/>
      <c r="G86" s="1"/>
      <c r="H86" s="1"/>
      <c r="J86" s="131"/>
      <c r="K86" s="131"/>
      <c r="O86" s="1"/>
      <c r="P86" s="1"/>
    </row>
    <row r="87" spans="2:16" x14ac:dyDescent="0.25">
      <c r="B87" s="131"/>
      <c r="G87" s="1"/>
      <c r="H87" s="1"/>
      <c r="J87" s="131"/>
      <c r="K87" s="131"/>
      <c r="O87" s="1"/>
      <c r="P87" s="1"/>
    </row>
    <row r="88" spans="2:16" x14ac:dyDescent="0.25">
      <c r="B88" s="131"/>
      <c r="G88" s="1"/>
      <c r="H88" s="1"/>
      <c r="J88" s="131"/>
      <c r="K88" s="131"/>
      <c r="O88" s="1"/>
      <c r="P88" s="1"/>
    </row>
    <row r="89" spans="2:16" x14ac:dyDescent="0.25">
      <c r="B89" s="131"/>
      <c r="G89" s="1"/>
      <c r="H89" s="1"/>
      <c r="J89" s="131"/>
      <c r="K89" s="131"/>
      <c r="O89" s="1"/>
      <c r="P89" s="1"/>
    </row>
    <row r="90" spans="2:16" x14ac:dyDescent="0.25">
      <c r="B90" s="131"/>
      <c r="G90" s="1"/>
      <c r="H90" s="1"/>
      <c r="J90" s="131"/>
      <c r="K90" s="131"/>
      <c r="O90" s="1"/>
      <c r="P90" s="1"/>
    </row>
    <row r="91" spans="2:16" x14ac:dyDescent="0.25">
      <c r="B91" s="131"/>
      <c r="G91" s="1"/>
      <c r="H91" s="1"/>
      <c r="J91" s="131"/>
      <c r="K91" s="131"/>
      <c r="O91" s="1"/>
      <c r="P91" s="1"/>
    </row>
    <row r="92" spans="2:16" x14ac:dyDescent="0.25">
      <c r="G92" s="1"/>
      <c r="H92" s="1"/>
      <c r="J92" s="131"/>
      <c r="K92" s="131"/>
      <c r="O92" s="1"/>
      <c r="P92" s="1"/>
    </row>
    <row r="93" spans="2:16" x14ac:dyDescent="0.25">
      <c r="G93" s="1"/>
      <c r="H93" s="1"/>
      <c r="J93" s="131"/>
      <c r="K93" s="131"/>
      <c r="O93" s="1"/>
      <c r="P93" s="1"/>
    </row>
    <row r="94" spans="2:16" x14ac:dyDescent="0.25">
      <c r="G94" s="1"/>
      <c r="H94" s="1"/>
      <c r="J94" s="131"/>
      <c r="K94" s="131"/>
      <c r="O94" s="1"/>
      <c r="P94" s="1"/>
    </row>
    <row r="95" spans="2:16" x14ac:dyDescent="0.25">
      <c r="G95" s="1"/>
      <c r="H95" s="1"/>
      <c r="J95" s="131"/>
      <c r="K95" s="131"/>
      <c r="O95" s="1"/>
      <c r="P95" s="1"/>
    </row>
    <row r="96" spans="2:16" x14ac:dyDescent="0.25">
      <c r="G96" s="1"/>
      <c r="H96" s="1"/>
      <c r="J96" s="131"/>
      <c r="K96" s="131"/>
      <c r="O96" s="1"/>
      <c r="P96" s="1"/>
    </row>
    <row r="97" spans="7:16" x14ac:dyDescent="0.25">
      <c r="G97" s="1"/>
      <c r="H97" s="1"/>
      <c r="J97" s="131"/>
      <c r="K97" s="131"/>
      <c r="O97" s="1"/>
      <c r="P97" s="1"/>
    </row>
    <row r="98" spans="7:16" x14ac:dyDescent="0.25">
      <c r="G98" s="1"/>
      <c r="H98" s="1"/>
      <c r="J98" s="131"/>
      <c r="K98" s="131"/>
      <c r="O98" s="1"/>
      <c r="P98" s="1"/>
    </row>
    <row r="99" spans="7:16" x14ac:dyDescent="0.25">
      <c r="G99" s="1"/>
      <c r="H99" s="1"/>
      <c r="J99" s="131"/>
      <c r="K99" s="131"/>
      <c r="O99" s="1"/>
      <c r="P99" s="1"/>
    </row>
    <row r="100" spans="7:16" x14ac:dyDescent="0.25">
      <c r="G100" s="1"/>
      <c r="H100" s="1"/>
      <c r="J100" s="131"/>
      <c r="K100" s="131"/>
      <c r="O100" s="1"/>
      <c r="P100" s="1"/>
    </row>
    <row r="101" spans="7:16" x14ac:dyDescent="0.25">
      <c r="G101" s="1"/>
      <c r="H101" s="1"/>
      <c r="J101" s="131"/>
      <c r="K101" s="131"/>
      <c r="O101" s="1"/>
      <c r="P101" s="1"/>
    </row>
    <row r="102" spans="7:16" x14ac:dyDescent="0.25">
      <c r="G102" s="1"/>
      <c r="H102" s="1"/>
      <c r="J102" s="131"/>
      <c r="K102" s="131"/>
      <c r="O102" s="1"/>
      <c r="P102" s="1"/>
    </row>
    <row r="103" spans="7:16" x14ac:dyDescent="0.25">
      <c r="G103" s="1"/>
      <c r="H103" s="1"/>
      <c r="J103" s="131"/>
      <c r="K103" s="131"/>
      <c r="O103" s="1"/>
      <c r="P103" s="1"/>
    </row>
    <row r="104" spans="7:16" x14ac:dyDescent="0.25">
      <c r="G104" s="1"/>
      <c r="H104" s="1"/>
      <c r="J104" s="131"/>
      <c r="K104" s="131"/>
      <c r="O104" s="1"/>
      <c r="P104" s="1"/>
    </row>
    <row r="105" spans="7:16" x14ac:dyDescent="0.25">
      <c r="G105" s="1"/>
      <c r="H105" s="1"/>
      <c r="J105" s="131"/>
      <c r="K105" s="131"/>
      <c r="O105" s="1"/>
      <c r="P10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8" bestFit="1" customWidth="1"/>
    <col min="4" max="5" width="13.28515625" style="28" bestFit="1" customWidth="1"/>
    <col min="6" max="6" width="17.7109375" style="28" customWidth="1"/>
    <col min="7" max="7" width="13.5703125" style="28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9" ht="18.75" x14ac:dyDescent="0.3">
      <c r="A2" s="159" t="s">
        <v>79</v>
      </c>
      <c r="B2" s="159"/>
      <c r="C2" s="159"/>
      <c r="D2" s="159"/>
      <c r="E2" s="159"/>
      <c r="F2" s="159"/>
      <c r="G2" s="159"/>
      <c r="H2" s="159"/>
      <c r="I2" s="159"/>
    </row>
    <row r="3" spans="1:9" x14ac:dyDescent="0.25">
      <c r="A3" s="158" t="s">
        <v>1</v>
      </c>
      <c r="B3" s="158"/>
      <c r="C3" s="158"/>
      <c r="D3" s="158"/>
      <c r="E3" s="158"/>
      <c r="F3" s="158"/>
      <c r="G3" s="158"/>
      <c r="H3" s="158"/>
      <c r="I3" s="158"/>
    </row>
    <row r="4" spans="1:9" x14ac:dyDescent="0.25">
      <c r="A4" s="160">
        <v>45473</v>
      </c>
      <c r="B4" s="160"/>
      <c r="C4" s="160"/>
      <c r="D4" s="160"/>
      <c r="E4" s="160"/>
      <c r="F4" s="160"/>
      <c r="G4" s="160"/>
      <c r="H4" s="160"/>
      <c r="I4" s="160"/>
    </row>
    <row r="5" spans="1:9" x14ac:dyDescent="0.25">
      <c r="A5" s="158" t="s">
        <v>2</v>
      </c>
      <c r="B5" s="158"/>
      <c r="C5" s="158"/>
      <c r="D5" s="158"/>
      <c r="E5" s="158"/>
      <c r="F5" s="158"/>
      <c r="G5" s="158"/>
      <c r="H5" s="158"/>
      <c r="I5" s="158"/>
    </row>
    <row r="6" spans="1:9" ht="15.75" thickBot="1" x14ac:dyDescent="0.3">
      <c r="A6" s="158"/>
      <c r="B6" s="158"/>
      <c r="C6" s="158"/>
      <c r="D6" s="158"/>
      <c r="E6" s="158"/>
      <c r="F6" s="158"/>
      <c r="G6" s="158"/>
      <c r="H6" s="158"/>
      <c r="I6" s="158"/>
    </row>
    <row r="7" spans="1:9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3" t="str">
        <f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3" t="str">
        <f t="shared" ref="I9:I11" si="2">IF(C9=0,"NA",H9/C9)</f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4" t="str">
        <f t="shared" si="2"/>
        <v>NA</v>
      </c>
    </row>
    <row r="11" spans="1:9" s="5" customFormat="1" x14ac:dyDescent="0.2">
      <c r="A11" s="26" t="s">
        <v>25</v>
      </c>
      <c r="B11" s="13">
        <v>0</v>
      </c>
      <c r="C11" s="13">
        <v>0</v>
      </c>
      <c r="D11" s="13">
        <v>0</v>
      </c>
      <c r="E11" s="13">
        <v>47604.51</v>
      </c>
      <c r="F11" s="13">
        <v>0</v>
      </c>
      <c r="G11" s="13">
        <f t="shared" si="0"/>
        <v>47604.51</v>
      </c>
      <c r="H11" s="13">
        <f t="shared" si="1"/>
        <v>-47604.51</v>
      </c>
      <c r="I11" s="35" t="str">
        <f t="shared" si="2"/>
        <v>NA</v>
      </c>
    </row>
    <row r="12" spans="1:9" s="5" customFormat="1" x14ac:dyDescent="0.2">
      <c r="A12" s="27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6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47604.51</v>
      </c>
      <c r="F13" s="11">
        <f t="shared" si="7"/>
        <v>0</v>
      </c>
      <c r="G13" s="11">
        <f t="shared" si="7"/>
        <v>47604.51</v>
      </c>
      <c r="H13" s="11">
        <f t="shared" si="7"/>
        <v>-47604.51</v>
      </c>
      <c r="I13" s="34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-47604.51</v>
      </c>
      <c r="F15" s="7"/>
      <c r="G15" s="7">
        <f>G10-G13</f>
        <v>-47604.51</v>
      </c>
      <c r="H15" s="7">
        <f>H10-H13</f>
        <v>47604.51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1"/>
      <c r="C19" s="31"/>
      <c r="D19" s="31"/>
      <c r="E19" s="31"/>
      <c r="F19" s="31"/>
      <c r="G19" s="31"/>
    </row>
    <row r="20" spans="1:10" s="5" customFormat="1" x14ac:dyDescent="0.2">
      <c r="A20" s="29"/>
      <c r="B20" s="31"/>
      <c r="C20" s="31"/>
      <c r="D20" s="31"/>
      <c r="E20" s="31"/>
      <c r="F20" s="31"/>
      <c r="G20" s="31"/>
    </row>
    <row r="21" spans="1:10" s="5" customFormat="1" x14ac:dyDescent="0.2">
      <c r="B21" s="31"/>
      <c r="C21" s="31"/>
      <c r="D21" s="31"/>
      <c r="E21" s="31"/>
      <c r="F21" s="31"/>
      <c r="G21" s="31"/>
      <c r="H21" s="31"/>
      <c r="I21" s="31"/>
    </row>
    <row r="22" spans="1:10" x14ac:dyDescent="0.25">
      <c r="H22" s="28"/>
      <c r="I22" s="28"/>
    </row>
    <row r="23" spans="1:10" s="5" customFormat="1" x14ac:dyDescent="0.2">
      <c r="B23" s="31"/>
      <c r="C23" s="31"/>
      <c r="D23" s="31"/>
      <c r="E23" s="31"/>
      <c r="F23" s="31"/>
      <c r="G23" s="31"/>
      <c r="H23" s="31"/>
      <c r="I23" s="31"/>
    </row>
    <row r="24" spans="1:10" x14ac:dyDescent="0.25">
      <c r="H24" s="28"/>
      <c r="I24" s="28"/>
      <c r="J24" s="28"/>
    </row>
    <row r="26" spans="1:10" x14ac:dyDescent="0.25">
      <c r="H26" s="28"/>
      <c r="I26" s="28"/>
    </row>
    <row r="27" spans="1:10" x14ac:dyDescent="0.25">
      <c r="H27" s="28"/>
      <c r="I2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49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28515625" style="28" bestFit="1" customWidth="1"/>
    <col min="4" max="4" width="14.5703125" style="28" bestFit="1" customWidth="1"/>
    <col min="5" max="5" width="14.7109375" style="28" bestFit="1" customWidth="1"/>
    <col min="6" max="6" width="17.5703125" style="28" customWidth="1"/>
    <col min="7" max="7" width="14.7109375" style="28" bestFit="1" customWidth="1"/>
    <col min="8" max="8" width="14.5703125" style="28" bestFit="1" customWidth="1"/>
    <col min="9" max="9" width="14.85546875" style="1" customWidth="1"/>
    <col min="10" max="10" width="3.5703125" style="45" customWidth="1"/>
    <col min="11" max="11" width="25.7109375" style="1" bestFit="1" customWidth="1"/>
    <col min="12" max="13" width="14.5703125" style="131" bestFit="1" customWidth="1"/>
    <col min="14" max="14" width="12.85546875" style="131" bestFit="1" customWidth="1"/>
    <col min="15" max="16" width="13.5703125" style="131" bestFit="1" customWidth="1"/>
    <col min="17" max="17" width="3.7109375" style="1" customWidth="1"/>
    <col min="18" max="18" width="9.7109375" style="1" bestFit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38"/>
    </row>
    <row r="2" spans="1:22" ht="18.75" x14ac:dyDescent="0.3">
      <c r="A2" s="159" t="s">
        <v>78</v>
      </c>
      <c r="B2" s="159"/>
      <c r="C2" s="159"/>
      <c r="D2" s="159"/>
      <c r="E2" s="159"/>
      <c r="F2" s="159"/>
      <c r="G2" s="159"/>
      <c r="H2" s="159"/>
      <c r="I2" s="159"/>
      <c r="J2" s="39"/>
    </row>
    <row r="3" spans="1:22" x14ac:dyDescent="0.25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J3" s="38"/>
    </row>
    <row r="4" spans="1:22" x14ac:dyDescent="0.25">
      <c r="A4" s="160">
        <v>45473</v>
      </c>
      <c r="B4" s="160"/>
      <c r="C4" s="160"/>
      <c r="D4" s="160"/>
      <c r="E4" s="160"/>
      <c r="F4" s="160"/>
      <c r="G4" s="160"/>
      <c r="H4" s="160"/>
      <c r="I4" s="160"/>
      <c r="J4" s="40"/>
    </row>
    <row r="5" spans="1:22" x14ac:dyDescent="0.25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38"/>
    </row>
    <row r="6" spans="1:22" ht="15.75" thickBot="1" x14ac:dyDescent="0.3">
      <c r="A6" s="158"/>
      <c r="B6" s="158"/>
      <c r="C6" s="158"/>
      <c r="D6" s="158"/>
      <c r="E6" s="158"/>
      <c r="F6" s="158"/>
      <c r="G6" s="158"/>
      <c r="H6" s="158"/>
      <c r="I6" s="158"/>
      <c r="J6" s="3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J7" s="41"/>
      <c r="L7" s="132"/>
      <c r="M7" s="132"/>
      <c r="N7" s="132"/>
      <c r="O7" s="132"/>
      <c r="P7" s="132"/>
    </row>
    <row r="8" spans="1:22" s="5" customFormat="1" x14ac:dyDescent="0.2">
      <c r="A8" s="6" t="s">
        <v>8</v>
      </c>
      <c r="B8" s="154">
        <v>429011000</v>
      </c>
      <c r="C8" s="154">
        <v>429183380.37</v>
      </c>
      <c r="D8" s="154">
        <v>13246259.02</v>
      </c>
      <c r="E8" s="154">
        <v>148291591.68999997</v>
      </c>
      <c r="F8" s="154">
        <v>0</v>
      </c>
      <c r="G8" s="7">
        <f t="shared" ref="G8:G23" si="0">SUM(E8:F8)</f>
        <v>148291591.68999997</v>
      </c>
      <c r="H8" s="7">
        <f t="shared" ref="H8:H11" si="1">C8-G8</f>
        <v>280891788.68000007</v>
      </c>
      <c r="I8" s="33">
        <f>IF(C8=0,"NA",H8/C8)</f>
        <v>0.65447965025542831</v>
      </c>
      <c r="J8" s="42"/>
      <c r="K8"/>
      <c r="L8" s="133"/>
      <c r="M8" s="133"/>
      <c r="N8" s="133"/>
      <c r="O8" s="133"/>
      <c r="P8" s="133"/>
      <c r="R8" s="132"/>
      <c r="S8" s="132"/>
      <c r="T8" s="132"/>
      <c r="U8" s="132"/>
      <c r="V8" s="132"/>
    </row>
    <row r="9" spans="1:22" s="5" customFormat="1" x14ac:dyDescent="0.2">
      <c r="A9" s="6" t="s">
        <v>9</v>
      </c>
      <c r="B9" s="155">
        <v>2800000</v>
      </c>
      <c r="C9" s="155">
        <v>2800000</v>
      </c>
      <c r="D9" s="155">
        <v>2710473.1300000004</v>
      </c>
      <c r="E9" s="155">
        <v>29584457.009999998</v>
      </c>
      <c r="F9" s="155">
        <v>0</v>
      </c>
      <c r="G9" s="7">
        <f t="shared" si="0"/>
        <v>29584457.009999998</v>
      </c>
      <c r="H9" s="7">
        <f t="shared" si="1"/>
        <v>-26784457.009999998</v>
      </c>
      <c r="I9" s="33">
        <f t="shared" ref="I9:I24" si="2">IF(C9=0,"NA",H9/C9)</f>
        <v>-9.5658775035714285</v>
      </c>
      <c r="J9" s="42"/>
      <c r="K9"/>
      <c r="L9" s="133"/>
      <c r="M9" s="133"/>
      <c r="N9" s="133"/>
      <c r="O9" s="133"/>
      <c r="P9" s="133"/>
      <c r="R9" s="132"/>
      <c r="S9" s="132"/>
      <c r="T9" s="132"/>
      <c r="U9" s="132"/>
      <c r="V9" s="132"/>
    </row>
    <row r="10" spans="1:22" s="5" customFormat="1" x14ac:dyDescent="0.2">
      <c r="A10" s="6" t="s">
        <v>10</v>
      </c>
      <c r="B10" s="155">
        <v>0</v>
      </c>
      <c r="C10" s="155">
        <v>0</v>
      </c>
      <c r="D10" s="155">
        <v>50906.3</v>
      </c>
      <c r="E10" s="155">
        <v>1117376.2899999996</v>
      </c>
      <c r="F10" s="155">
        <v>0</v>
      </c>
      <c r="G10" s="7">
        <f t="shared" si="0"/>
        <v>1117376.2899999996</v>
      </c>
      <c r="H10" s="7">
        <f t="shared" si="1"/>
        <v>-1117376.2899999996</v>
      </c>
      <c r="I10" s="33" t="str">
        <f t="shared" si="2"/>
        <v>NA</v>
      </c>
      <c r="J10" s="42"/>
      <c r="K10"/>
      <c r="L10" s="133"/>
      <c r="M10" s="133"/>
      <c r="N10" s="133"/>
      <c r="O10" s="133"/>
      <c r="P10" s="133"/>
      <c r="R10" s="132"/>
      <c r="S10" s="132"/>
      <c r="T10" s="132"/>
      <c r="U10" s="132"/>
      <c r="V10" s="132"/>
    </row>
    <row r="11" spans="1:22" s="5" customFormat="1" x14ac:dyDescent="0.2">
      <c r="A11" s="6" t="s">
        <v>11</v>
      </c>
      <c r="B11" s="156">
        <v>0</v>
      </c>
      <c r="C11" s="156">
        <v>0</v>
      </c>
      <c r="D11" s="156">
        <v>0</v>
      </c>
      <c r="E11" s="156">
        <v>178811065.95999998</v>
      </c>
      <c r="F11" s="156">
        <v>0</v>
      </c>
      <c r="G11" s="7">
        <f t="shared" si="0"/>
        <v>178811065.95999998</v>
      </c>
      <c r="H11" s="7">
        <f t="shared" si="1"/>
        <v>-178811065.95999998</v>
      </c>
      <c r="I11" s="33" t="str">
        <f t="shared" si="2"/>
        <v>NA</v>
      </c>
      <c r="J11" s="42"/>
      <c r="K11"/>
      <c r="L11" s="133"/>
      <c r="M11" s="133"/>
      <c r="N11" s="133"/>
      <c r="O11" s="133"/>
      <c r="P11" s="133"/>
      <c r="R11" s="132"/>
      <c r="S11" s="132"/>
      <c r="T11" s="132"/>
      <c r="U11" s="132"/>
      <c r="V11" s="132"/>
    </row>
    <row r="12" spans="1:22" s="5" customFormat="1" ht="24.95" customHeight="1" x14ac:dyDescent="0.25">
      <c r="A12" s="152" t="s">
        <v>12</v>
      </c>
      <c r="B12" s="11">
        <f>SUM(B8:B11)</f>
        <v>431811000</v>
      </c>
      <c r="C12" s="11">
        <f t="shared" ref="C12:F12" si="3">SUM(C8:C11)</f>
        <v>431983380.37</v>
      </c>
      <c r="D12" s="11">
        <f t="shared" si="3"/>
        <v>16007638.450000001</v>
      </c>
      <c r="E12" s="11">
        <f t="shared" si="3"/>
        <v>357804490.94999993</v>
      </c>
      <c r="F12" s="11">
        <f t="shared" si="3"/>
        <v>0</v>
      </c>
      <c r="G12" s="11">
        <f t="shared" ref="G12:H12" si="4">SUM(G8:G11)</f>
        <v>357804490.94999993</v>
      </c>
      <c r="H12" s="11">
        <f t="shared" si="4"/>
        <v>74178889.420000106</v>
      </c>
      <c r="I12" s="153">
        <f t="shared" si="2"/>
        <v>0.17171699836337412</v>
      </c>
      <c r="L12" s="1"/>
      <c r="M12" s="1"/>
      <c r="N12" s="1"/>
      <c r="O12" s="1"/>
      <c r="P12" s="1"/>
      <c r="Q12" s="1"/>
      <c r="R12" s="132"/>
      <c r="S12" s="132"/>
      <c r="T12" s="132"/>
      <c r="U12" s="132"/>
      <c r="V12" s="132"/>
    </row>
    <row r="13" spans="1:22" s="5" customFormat="1" x14ac:dyDescent="0.2">
      <c r="A13" s="12" t="s">
        <v>13</v>
      </c>
      <c r="B13" s="13">
        <v>5500</v>
      </c>
      <c r="C13" s="13">
        <v>5500</v>
      </c>
      <c r="D13" s="13">
        <v>58479.340000000004</v>
      </c>
      <c r="E13" s="13">
        <v>1037883.6900000002</v>
      </c>
      <c r="F13" s="13">
        <v>353119.93999999994</v>
      </c>
      <c r="G13" s="7">
        <f t="shared" si="0"/>
        <v>1391003.6300000001</v>
      </c>
      <c r="H13" s="7">
        <f t="shared" ref="H13:H23" si="5">C13-G13</f>
        <v>-1385503.6300000001</v>
      </c>
      <c r="I13" s="37">
        <f t="shared" si="2"/>
        <v>-251.90975090909092</v>
      </c>
      <c r="J13" s="42"/>
      <c r="R13" s="132"/>
      <c r="S13" s="132"/>
      <c r="T13" s="132"/>
      <c r="U13" s="132"/>
      <c r="V13" s="132"/>
    </row>
    <row r="14" spans="1:22" s="5" customFormat="1" x14ac:dyDescent="0.25">
      <c r="A14" s="6" t="s">
        <v>14</v>
      </c>
      <c r="B14" s="7">
        <v>5500</v>
      </c>
      <c r="C14" s="7">
        <v>174394.37</v>
      </c>
      <c r="D14" s="7">
        <v>0</v>
      </c>
      <c r="E14" s="7">
        <v>58518.65</v>
      </c>
      <c r="F14" s="7">
        <v>32.9</v>
      </c>
      <c r="G14" s="7">
        <f t="shared" si="0"/>
        <v>58551.55</v>
      </c>
      <c r="H14" s="7">
        <f t="shared" si="5"/>
        <v>115842.81999999999</v>
      </c>
      <c r="I14" s="37">
        <f t="shared" ref="I14" si="6">IF(C14=0,"NA",H14/C14)</f>
        <v>0.6642577968543365</v>
      </c>
      <c r="J14" s="42"/>
      <c r="K14" s="1"/>
      <c r="L14" s="1"/>
      <c r="M14" s="1"/>
      <c r="R14" s="132"/>
      <c r="S14" s="132"/>
      <c r="T14" s="132"/>
      <c r="U14" s="132"/>
      <c r="V14" s="132"/>
    </row>
    <row r="15" spans="1:22" s="5" customFormat="1" x14ac:dyDescent="0.25">
      <c r="A15" s="6" t="s">
        <v>15</v>
      </c>
      <c r="B15" s="7">
        <v>0</v>
      </c>
      <c r="C15" s="7">
        <v>44245656</v>
      </c>
      <c r="D15" s="7">
        <v>401107.98</v>
      </c>
      <c r="E15" s="7">
        <v>2030215.68</v>
      </c>
      <c r="F15" s="7">
        <v>25453815.210000001</v>
      </c>
      <c r="G15" s="7">
        <f t="shared" ref="G15" si="7">SUM(E15:F15)</f>
        <v>27484030.890000001</v>
      </c>
      <c r="H15" s="7">
        <f t="shared" ref="H15:H16" si="8">C15-G15</f>
        <v>16761625.109999999</v>
      </c>
      <c r="I15" s="37">
        <f t="shared" ref="I15:I16" si="9">IF(C15=0,"NA",H15/C15)</f>
        <v>0.37883097744103961</v>
      </c>
      <c r="J15" s="42"/>
      <c r="K15" s="1"/>
      <c r="L15" s="1"/>
      <c r="M15" s="1"/>
      <c r="N15" s="1"/>
      <c r="R15" s="132"/>
      <c r="S15" s="132"/>
      <c r="T15" s="132"/>
      <c r="U15" s="132"/>
      <c r="V15" s="132"/>
    </row>
    <row r="16" spans="1:22" s="5" customFormat="1" x14ac:dyDescent="0.25">
      <c r="A16" s="6" t="s">
        <v>16</v>
      </c>
      <c r="B16" s="7">
        <v>0</v>
      </c>
      <c r="C16" s="7">
        <v>3495</v>
      </c>
      <c r="D16" s="7">
        <v>0</v>
      </c>
      <c r="E16" s="7">
        <v>0</v>
      </c>
      <c r="F16" s="7">
        <v>226.31</v>
      </c>
      <c r="G16" s="7">
        <f t="shared" ref="G16" si="10">SUM(E16:F16)</f>
        <v>226.31</v>
      </c>
      <c r="H16" s="7">
        <f t="shared" si="8"/>
        <v>3268.69</v>
      </c>
      <c r="I16" s="37">
        <f t="shared" si="9"/>
        <v>0.93524749642346205</v>
      </c>
      <c r="J16" s="42"/>
      <c r="K16" s="1"/>
      <c r="L16" s="1"/>
      <c r="M16" s="1"/>
      <c r="N16" s="1"/>
      <c r="R16" s="132"/>
      <c r="S16" s="132"/>
      <c r="T16" s="132"/>
      <c r="U16" s="132"/>
      <c r="V16" s="132"/>
    </row>
    <row r="17" spans="1:22" s="5" customFormat="1" x14ac:dyDescent="0.25">
      <c r="A17" s="6" t="s">
        <v>70</v>
      </c>
      <c r="B17" s="7">
        <v>10050882.43</v>
      </c>
      <c r="C17" s="7">
        <v>10998913.92</v>
      </c>
      <c r="D17" s="7">
        <v>40615.68</v>
      </c>
      <c r="E17" s="7">
        <v>754452.47999999998</v>
      </c>
      <c r="F17" s="7">
        <v>32075.469999999998</v>
      </c>
      <c r="G17" s="7">
        <f t="shared" si="0"/>
        <v>786527.95</v>
      </c>
      <c r="H17" s="7">
        <f t="shared" si="5"/>
        <v>10212385.970000001</v>
      </c>
      <c r="I17" s="37">
        <f t="shared" ref="I17" si="11">IF(C17=0,"NA",H17/C17)</f>
        <v>0.9284903986229216</v>
      </c>
      <c r="J17" s="42"/>
      <c r="K17" s="1"/>
      <c r="L17" s="1"/>
      <c r="M17" s="1"/>
      <c r="N17" s="1"/>
      <c r="R17" s="132"/>
      <c r="S17" s="132"/>
      <c r="T17" s="132"/>
      <c r="U17" s="132"/>
      <c r="V17" s="132"/>
    </row>
    <row r="18" spans="1:22" s="5" customFormat="1" x14ac:dyDescent="0.25">
      <c r="A18" s="6" t="s">
        <v>21</v>
      </c>
      <c r="B18" s="7">
        <v>1008000</v>
      </c>
      <c r="C18" s="7">
        <v>731685</v>
      </c>
      <c r="D18" s="7">
        <v>0</v>
      </c>
      <c r="E18" s="7">
        <v>0</v>
      </c>
      <c r="F18" s="7">
        <v>0</v>
      </c>
      <c r="G18" s="7">
        <f t="shared" si="0"/>
        <v>0</v>
      </c>
      <c r="H18" s="7">
        <f t="shared" si="5"/>
        <v>731685</v>
      </c>
      <c r="I18" s="37">
        <f>IF(C18=0,"NA",H18/C18)</f>
        <v>1</v>
      </c>
      <c r="J18" s="42"/>
      <c r="K18" s="1"/>
      <c r="L18" s="1"/>
      <c r="M18" s="1"/>
      <c r="N18" s="1"/>
      <c r="R18" s="132"/>
      <c r="S18" s="132"/>
      <c r="T18" s="132"/>
      <c r="U18" s="132"/>
      <c r="V18" s="132"/>
    </row>
    <row r="19" spans="1:22" s="5" customFormat="1" x14ac:dyDescent="0.25">
      <c r="A19" s="6" t="s">
        <v>22</v>
      </c>
      <c r="B19" s="7">
        <v>18000000</v>
      </c>
      <c r="C19" s="7">
        <v>18000000</v>
      </c>
      <c r="D19" s="7">
        <v>530444.06000000006</v>
      </c>
      <c r="E19" s="7">
        <v>3121064.36</v>
      </c>
      <c r="F19" s="7">
        <v>10039851.039999999</v>
      </c>
      <c r="G19" s="7">
        <f t="shared" si="0"/>
        <v>13160915.399999999</v>
      </c>
      <c r="H19" s="7">
        <f t="shared" si="5"/>
        <v>4839084.6000000015</v>
      </c>
      <c r="I19" s="37">
        <f>IF(C19=0,"NA",H19/C19)</f>
        <v>0.26883803333333339</v>
      </c>
      <c r="J19" s="42"/>
      <c r="K19" s="1"/>
      <c r="L19" s="1"/>
      <c r="M19" s="1"/>
      <c r="N19" s="1"/>
      <c r="R19" s="132"/>
      <c r="S19" s="132"/>
      <c r="T19" s="132"/>
      <c r="U19" s="132"/>
      <c r="V19" s="132"/>
    </row>
    <row r="20" spans="1:22" s="5" customFormat="1" x14ac:dyDescent="0.25">
      <c r="A20" s="6" t="s">
        <v>30</v>
      </c>
      <c r="B20" s="7">
        <v>0</v>
      </c>
      <c r="C20" s="7">
        <v>0</v>
      </c>
      <c r="D20" s="7">
        <v>1376.99</v>
      </c>
      <c r="E20" s="7">
        <v>3008109.77</v>
      </c>
      <c r="F20" s="7">
        <v>0</v>
      </c>
      <c r="G20" s="7">
        <f t="shared" ref="G20" si="12">SUM(E20:F20)</f>
        <v>3008109.77</v>
      </c>
      <c r="H20" s="7">
        <f t="shared" ref="H20" si="13">C20-G20</f>
        <v>-3008109.77</v>
      </c>
      <c r="I20" s="37" t="str">
        <f>IF(C20=0,"NA",H20/C20)</f>
        <v>NA</v>
      </c>
      <c r="J20" s="42"/>
      <c r="K20" s="1"/>
      <c r="L20" s="1"/>
      <c r="M20" s="1"/>
      <c r="N20" s="1"/>
      <c r="R20" s="132"/>
      <c r="S20" s="132"/>
      <c r="T20" s="132"/>
      <c r="U20" s="132"/>
      <c r="V20" s="132"/>
    </row>
    <row r="21" spans="1:22" s="5" customFormat="1" x14ac:dyDescent="0.25">
      <c r="A21" s="6" t="s">
        <v>73</v>
      </c>
      <c r="B21" s="7">
        <v>729323049.63999987</v>
      </c>
      <c r="C21" s="7">
        <v>693984646.29999983</v>
      </c>
      <c r="D21" s="7">
        <v>18726367.410000004</v>
      </c>
      <c r="E21" s="7">
        <v>59248170.870000012</v>
      </c>
      <c r="F21" s="7">
        <v>138175773.46000001</v>
      </c>
      <c r="G21" s="7">
        <f t="shared" si="0"/>
        <v>197423944.33000001</v>
      </c>
      <c r="H21" s="7">
        <f t="shared" si="5"/>
        <v>496560701.96999979</v>
      </c>
      <c r="I21" s="37">
        <f t="shared" si="2"/>
        <v>0.71552116407391464</v>
      </c>
      <c r="J21" s="42"/>
      <c r="L21" s="1"/>
      <c r="M21" s="1"/>
      <c r="N21" s="1"/>
      <c r="O21" s="1"/>
      <c r="P21" s="1"/>
      <c r="Q21" s="1"/>
      <c r="R21" s="132"/>
      <c r="S21" s="132"/>
      <c r="T21" s="132"/>
      <c r="U21" s="132"/>
      <c r="V21" s="132"/>
    </row>
    <row r="22" spans="1:22" s="5" customFormat="1" x14ac:dyDescent="0.25">
      <c r="A22" s="6" t="s">
        <v>25</v>
      </c>
      <c r="B22" s="7">
        <v>83403442</v>
      </c>
      <c r="C22" s="7">
        <v>83403442</v>
      </c>
      <c r="D22" s="7">
        <v>0</v>
      </c>
      <c r="E22" s="7">
        <v>178763461.44999999</v>
      </c>
      <c r="F22" s="7">
        <v>0</v>
      </c>
      <c r="G22" s="7">
        <f t="shared" si="0"/>
        <v>178763461.44999999</v>
      </c>
      <c r="H22" s="7">
        <f t="shared" si="5"/>
        <v>-95360019.449999988</v>
      </c>
      <c r="I22" s="37">
        <f t="shared" si="2"/>
        <v>-1.1433583214707133</v>
      </c>
      <c r="K22" s="1"/>
      <c r="L22" s="131"/>
      <c r="M22" s="131"/>
      <c r="N22" s="131"/>
      <c r="O22" s="131"/>
      <c r="P22" s="131"/>
      <c r="Q22" s="1"/>
      <c r="R22" s="131"/>
      <c r="S22" s="132"/>
      <c r="T22" s="132"/>
      <c r="U22" s="132"/>
      <c r="V22" s="132"/>
    </row>
    <row r="23" spans="1:22" s="5" customFormat="1" x14ac:dyDescent="0.25">
      <c r="A23" s="6" t="s">
        <v>24</v>
      </c>
      <c r="B23" s="7">
        <v>5572080</v>
      </c>
      <c r="C23" s="7">
        <v>5572080</v>
      </c>
      <c r="D23" s="7">
        <v>0</v>
      </c>
      <c r="E23" s="7">
        <v>5810912.5</v>
      </c>
      <c r="F23" s="7">
        <v>0</v>
      </c>
      <c r="G23" s="7">
        <f t="shared" si="0"/>
        <v>5810912.5</v>
      </c>
      <c r="H23" s="7">
        <f t="shared" si="5"/>
        <v>-238832.5</v>
      </c>
      <c r="I23" s="37">
        <f t="shared" si="2"/>
        <v>-4.2862360195833511E-2</v>
      </c>
      <c r="J23" s="42"/>
      <c r="L23" s="1"/>
      <c r="M23" s="1"/>
      <c r="N23" s="1"/>
      <c r="O23" s="1"/>
      <c r="P23" s="1"/>
      <c r="Q23" s="1"/>
      <c r="R23" s="132"/>
      <c r="S23" s="132"/>
      <c r="T23" s="132"/>
      <c r="U23" s="132"/>
      <c r="V23" s="132"/>
    </row>
    <row r="24" spans="1:22" s="5" customFormat="1" ht="24.95" customHeight="1" x14ac:dyDescent="0.25">
      <c r="A24" s="152" t="s">
        <v>26</v>
      </c>
      <c r="B24" s="11">
        <f t="shared" ref="B24:H24" si="14">SUM(B13:B23)</f>
        <v>847368454.06999981</v>
      </c>
      <c r="C24" s="11">
        <f t="shared" si="14"/>
        <v>857119812.58999979</v>
      </c>
      <c r="D24" s="11">
        <f t="shared" si="14"/>
        <v>19758391.460000005</v>
      </c>
      <c r="E24" s="11">
        <f t="shared" si="14"/>
        <v>253832789.44999999</v>
      </c>
      <c r="F24" s="11">
        <f t="shared" si="14"/>
        <v>174054894.33000001</v>
      </c>
      <c r="G24" s="11">
        <f t="shared" si="14"/>
        <v>427887683.77999997</v>
      </c>
      <c r="H24" s="11">
        <f t="shared" si="14"/>
        <v>429232128.80999982</v>
      </c>
      <c r="I24" s="153">
        <f t="shared" si="2"/>
        <v>0.50078428068646397</v>
      </c>
      <c r="K24" s="131"/>
      <c r="L24" s="131"/>
      <c r="M24" s="131"/>
      <c r="N24" s="131"/>
      <c r="O24" s="1"/>
      <c r="P24" s="1"/>
      <c r="Q24" s="1"/>
      <c r="R24" s="132"/>
      <c r="S24" s="132"/>
      <c r="T24" s="132"/>
      <c r="U24" s="132"/>
      <c r="V24" s="132"/>
    </row>
    <row r="25" spans="1:22" x14ac:dyDescent="0.25">
      <c r="A25" s="12"/>
      <c r="B25" s="13"/>
      <c r="C25" s="13"/>
      <c r="D25" s="13"/>
      <c r="E25" s="13"/>
      <c r="F25" s="13"/>
      <c r="G25" s="13"/>
      <c r="H25" s="13"/>
      <c r="I25" s="15"/>
      <c r="J25" s="44"/>
      <c r="K25" s="131"/>
      <c r="O25" s="1"/>
      <c r="P25" s="1"/>
      <c r="R25" s="131"/>
      <c r="S25" s="131"/>
    </row>
    <row r="26" spans="1:22" x14ac:dyDescent="0.25">
      <c r="A26" s="6" t="s">
        <v>27</v>
      </c>
      <c r="B26" s="7">
        <f>B12-B24</f>
        <v>-415557454.06999981</v>
      </c>
      <c r="C26" s="7">
        <f>C12-C24</f>
        <v>-425136432.21999979</v>
      </c>
      <c r="D26" s="7">
        <f>D12-D24</f>
        <v>-3750753.0100000035</v>
      </c>
      <c r="E26" s="7">
        <f>E12-E24</f>
        <v>103971701.49999994</v>
      </c>
      <c r="F26" s="7"/>
      <c r="G26" s="7">
        <f>G12-G24</f>
        <v>-70083192.830000043</v>
      </c>
      <c r="H26" s="7">
        <f>H12-H24</f>
        <v>-355053239.38999975</v>
      </c>
      <c r="I26" s="16"/>
      <c r="J26" s="43"/>
      <c r="K26" s="131"/>
      <c r="O26" s="1"/>
      <c r="P26" s="1"/>
      <c r="R26" s="131"/>
      <c r="S26" s="131"/>
    </row>
    <row r="27" spans="1:22" x14ac:dyDescent="0.25">
      <c r="A27" s="8"/>
      <c r="B27" s="9"/>
      <c r="C27" s="9"/>
      <c r="D27" s="9"/>
      <c r="E27" s="9"/>
      <c r="F27" s="9"/>
      <c r="G27" s="9"/>
      <c r="H27" s="9"/>
      <c r="I27" s="17"/>
      <c r="K27" s="131"/>
      <c r="O27" s="1"/>
      <c r="P27" s="1"/>
      <c r="R27" s="131"/>
      <c r="S27" s="131"/>
    </row>
    <row r="28" spans="1:22" x14ac:dyDescent="0.25">
      <c r="A28" s="18" t="s">
        <v>67</v>
      </c>
      <c r="B28" s="20"/>
      <c r="C28" s="20"/>
      <c r="D28" s="20"/>
      <c r="E28" s="20">
        <v>509808260</v>
      </c>
      <c r="F28" s="20"/>
      <c r="G28" s="20">
        <f>E28</f>
        <v>509808260</v>
      </c>
      <c r="H28" s="20"/>
      <c r="I28" s="21"/>
      <c r="K28" s="131"/>
      <c r="O28" s="1"/>
      <c r="P28" s="1"/>
      <c r="S28" s="131"/>
      <c r="T28" s="131"/>
    </row>
    <row r="29" spans="1:22" s="131" customFormat="1" ht="15.75" thickBot="1" x14ac:dyDescent="0.3">
      <c r="A29" s="22" t="s">
        <v>28</v>
      </c>
      <c r="B29" s="24"/>
      <c r="C29" s="24"/>
      <c r="D29" s="24"/>
      <c r="E29" s="24">
        <f>SUM(E26:E28)</f>
        <v>613779961.5</v>
      </c>
      <c r="F29" s="24"/>
      <c r="G29" s="24">
        <f>SUM(G26:G28)</f>
        <v>439725067.16999996</v>
      </c>
      <c r="H29" s="24"/>
      <c r="I29" s="25"/>
      <c r="K29" s="1"/>
      <c r="Q29" s="1"/>
      <c r="R29" s="1"/>
    </row>
    <row r="30" spans="1:22" s="131" customFormat="1" x14ac:dyDescent="0.25">
      <c r="A30" s="5"/>
      <c r="B30" s="31"/>
      <c r="C30" s="31"/>
      <c r="D30" s="31"/>
      <c r="E30" s="31"/>
      <c r="F30" s="31"/>
      <c r="G30" s="31"/>
      <c r="H30" s="31"/>
      <c r="I30" s="5"/>
      <c r="K30" s="1"/>
      <c r="Q30" s="1"/>
      <c r="R30" s="1"/>
    </row>
    <row r="31" spans="1:22" s="131" customFormat="1" x14ac:dyDescent="0.25">
      <c r="H31" s="144"/>
      <c r="K31" s="1"/>
      <c r="Q31" s="1"/>
    </row>
    <row r="32" spans="1:22" s="131" customFormat="1" x14ac:dyDescent="0.25">
      <c r="B32" s="144"/>
      <c r="O32" s="1"/>
      <c r="P32" s="1"/>
    </row>
    <row r="33" spans="1:16" s="131" customFormat="1" x14ac:dyDescent="0.25">
      <c r="D33" s="144"/>
      <c r="O33" s="1"/>
      <c r="P33" s="1"/>
    </row>
    <row r="34" spans="1:16" s="131" customFormat="1" x14ac:dyDescent="0.25">
      <c r="I34" s="1"/>
      <c r="O34" s="1"/>
      <c r="P34" s="1"/>
    </row>
    <row r="35" spans="1:16" s="131" customFormat="1" x14ac:dyDescent="0.25">
      <c r="C35" s="1"/>
      <c r="E35" s="1"/>
      <c r="G35" s="1"/>
      <c r="I35" s="1"/>
      <c r="O35" s="1"/>
      <c r="P35" s="1"/>
    </row>
    <row r="36" spans="1:16" s="131" customFormat="1" x14ac:dyDescent="0.25">
      <c r="C36" s="1"/>
      <c r="E36" s="1"/>
      <c r="G36" s="1"/>
      <c r="I36" s="1"/>
      <c r="O36" s="1"/>
      <c r="P36" s="1"/>
    </row>
    <row r="37" spans="1:16" x14ac:dyDescent="0.25">
      <c r="A37" s="131"/>
      <c r="B37" s="131"/>
      <c r="C37" s="131"/>
      <c r="D37" s="131"/>
      <c r="E37" s="131"/>
      <c r="F37" s="131"/>
      <c r="G37" s="131"/>
      <c r="H37" s="131"/>
      <c r="J37" s="131"/>
    </row>
    <row r="38" spans="1:16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</row>
    <row r="39" spans="1:16" x14ac:dyDescent="0.25">
      <c r="B39" s="131"/>
      <c r="C39" s="131"/>
      <c r="D39" s="131"/>
      <c r="E39" s="131"/>
      <c r="F39" s="131"/>
      <c r="G39" s="131"/>
      <c r="H39" s="131"/>
      <c r="I39" s="131"/>
      <c r="J39" s="131"/>
    </row>
    <row r="40" spans="1:16" x14ac:dyDescent="0.25">
      <c r="B40" s="131"/>
      <c r="C40" s="131"/>
      <c r="D40" s="131"/>
      <c r="E40" s="131"/>
      <c r="F40" s="131"/>
      <c r="G40" s="131"/>
      <c r="H40" s="131"/>
      <c r="I40" s="131"/>
      <c r="J40" s="131"/>
    </row>
    <row r="41" spans="1:16" x14ac:dyDescent="0.25">
      <c r="B41" s="131"/>
      <c r="C41" s="131"/>
      <c r="D41" s="131"/>
      <c r="E41" s="131"/>
      <c r="F41" s="131"/>
    </row>
    <row r="42" spans="1:16" x14ac:dyDescent="0.25">
      <c r="B42" s="131"/>
      <c r="C42" s="131"/>
      <c r="D42" s="131"/>
      <c r="E42" s="131"/>
      <c r="F42" s="131"/>
    </row>
    <row r="43" spans="1:16" x14ac:dyDescent="0.25">
      <c r="I43" s="28"/>
    </row>
    <row r="44" spans="1:16" x14ac:dyDescent="0.25">
      <c r="I44" s="28"/>
    </row>
    <row r="45" spans="1:16" x14ac:dyDescent="0.25">
      <c r="I45" s="28"/>
    </row>
    <row r="46" spans="1:16" x14ac:dyDescent="0.25">
      <c r="I46" s="28"/>
    </row>
    <row r="47" spans="1:16" x14ac:dyDescent="0.25">
      <c r="I47" s="28"/>
    </row>
    <row r="48" spans="1:16" x14ac:dyDescent="0.25">
      <c r="I48" s="28"/>
    </row>
    <row r="49" spans="9:9" x14ac:dyDescent="0.25">
      <c r="I49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.140625" style="28" bestFit="1" customWidth="1"/>
    <col min="4" max="4" width="13.42578125" style="28" bestFit="1" customWidth="1"/>
    <col min="5" max="5" width="13.5703125" style="28" bestFit="1" customWidth="1"/>
    <col min="6" max="6" width="16.85546875" style="28" customWidth="1"/>
    <col min="7" max="7" width="13.7109375" style="28" bestFit="1" customWidth="1"/>
    <col min="8" max="8" width="13.5703125" style="28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23" ht="18.75" x14ac:dyDescent="0.3">
      <c r="A2" s="159" t="s">
        <v>77</v>
      </c>
      <c r="B2" s="159"/>
      <c r="C2" s="159"/>
      <c r="D2" s="159"/>
      <c r="E2" s="159"/>
      <c r="F2" s="159"/>
      <c r="G2" s="159"/>
      <c r="H2" s="159"/>
      <c r="I2" s="159"/>
    </row>
    <row r="3" spans="1:23" x14ac:dyDescent="0.25">
      <c r="A3" s="158" t="s">
        <v>1</v>
      </c>
      <c r="B3" s="158"/>
      <c r="C3" s="158"/>
      <c r="D3" s="158"/>
      <c r="E3" s="158"/>
      <c r="F3" s="158"/>
      <c r="G3" s="158"/>
      <c r="H3" s="158"/>
      <c r="I3" s="158"/>
    </row>
    <row r="4" spans="1:23" x14ac:dyDescent="0.25">
      <c r="A4" s="160">
        <v>45473</v>
      </c>
      <c r="B4" s="160"/>
      <c r="C4" s="160"/>
      <c r="D4" s="160"/>
      <c r="E4" s="160"/>
      <c r="F4" s="160"/>
      <c r="G4" s="160"/>
      <c r="H4" s="160"/>
      <c r="I4" s="160"/>
    </row>
    <row r="5" spans="1:23" x14ac:dyDescent="0.25">
      <c r="A5" s="158" t="s">
        <v>2</v>
      </c>
      <c r="B5" s="158"/>
      <c r="C5" s="158"/>
      <c r="D5" s="158"/>
      <c r="E5" s="158"/>
      <c r="F5" s="158"/>
      <c r="G5" s="158"/>
      <c r="H5" s="158"/>
      <c r="I5" s="158"/>
    </row>
    <row r="6" spans="1:23" ht="15.75" thickBot="1" x14ac:dyDescent="0.3">
      <c r="A6" s="158"/>
      <c r="B6" s="158"/>
      <c r="C6" s="158"/>
      <c r="D6" s="158"/>
      <c r="E6" s="158"/>
      <c r="F6" s="158"/>
      <c r="G6" s="158"/>
      <c r="H6" s="158"/>
      <c r="I6" s="158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M7" s="132"/>
      <c r="N7" s="132"/>
      <c r="O7" s="132"/>
      <c r="P7" s="132"/>
      <c r="Q7" s="132"/>
      <c r="R7" s="132"/>
    </row>
    <row r="8" spans="1:23" s="5" customFormat="1" x14ac:dyDescent="0.2">
      <c r="A8" s="6" t="s">
        <v>8</v>
      </c>
      <c r="B8" s="7">
        <v>61049795.369999997</v>
      </c>
      <c r="C8" s="7">
        <v>61049795.369999997</v>
      </c>
      <c r="D8" s="7">
        <v>8292</v>
      </c>
      <c r="E8" s="7">
        <v>2246973.310000001</v>
      </c>
      <c r="F8" s="7">
        <v>0</v>
      </c>
      <c r="G8" s="7">
        <f t="shared" ref="G8:G17" si="0">SUM(E8:F8)</f>
        <v>2246973.310000001</v>
      </c>
      <c r="H8" s="7">
        <f t="shared" ref="H8:H12" si="1">C8-G8</f>
        <v>58802822.059999995</v>
      </c>
      <c r="I8" s="37">
        <f>IF(C8=0,"NA",H8/C8)</f>
        <v>0.9631944170102138</v>
      </c>
      <c r="L8"/>
      <c r="M8" s="133"/>
      <c r="N8" s="133"/>
      <c r="O8" s="133"/>
      <c r="P8" s="133"/>
      <c r="Q8" s="133"/>
      <c r="R8" s="132"/>
      <c r="S8" s="132"/>
      <c r="T8" s="132"/>
      <c r="U8" s="132"/>
      <c r="V8" s="132"/>
      <c r="W8" s="132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129539.55</v>
      </c>
      <c r="F9" s="7">
        <v>0</v>
      </c>
      <c r="G9" s="7">
        <f t="shared" si="0"/>
        <v>129539.55</v>
      </c>
      <c r="H9" s="7">
        <f t="shared" si="1"/>
        <v>-129539.55</v>
      </c>
      <c r="I9" s="37" t="str">
        <f t="shared" ref="I9:I18" si="2">IF(C9=0,"NA",H9/C9)</f>
        <v>NA</v>
      </c>
      <c r="L9"/>
      <c r="M9" s="133"/>
      <c r="N9" s="133"/>
      <c r="O9" s="133"/>
      <c r="P9" s="133"/>
      <c r="Q9" s="133"/>
      <c r="R9" s="132"/>
      <c r="S9" s="132"/>
      <c r="T9" s="132"/>
      <c r="U9" s="132"/>
      <c r="V9" s="132"/>
      <c r="W9" s="132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128380.00000000004</v>
      </c>
      <c r="E10" s="7">
        <v>1326922.9999999972</v>
      </c>
      <c r="F10" s="7">
        <v>0</v>
      </c>
      <c r="G10" s="7">
        <f t="shared" si="0"/>
        <v>1326922.9999999972</v>
      </c>
      <c r="H10" s="7">
        <f t="shared" si="1"/>
        <v>-1326922.9999999972</v>
      </c>
      <c r="I10" s="37" t="str">
        <f t="shared" si="2"/>
        <v>NA</v>
      </c>
      <c r="L10"/>
      <c r="M10" s="133"/>
      <c r="N10" s="133"/>
      <c r="O10" s="133"/>
      <c r="P10" s="133"/>
      <c r="Q10" s="133"/>
      <c r="R10" s="132"/>
      <c r="S10" s="132"/>
      <c r="T10" s="132"/>
      <c r="U10" s="132"/>
      <c r="V10" s="132"/>
      <c r="W10" s="132"/>
    </row>
    <row r="11" spans="1:23" s="5" customFormat="1" x14ac:dyDescent="0.2">
      <c r="A11" s="6" t="s">
        <v>74</v>
      </c>
      <c r="B11" s="7">
        <v>11801978</v>
      </c>
      <c r="C11" s="7">
        <v>19494068.469999995</v>
      </c>
      <c r="D11" s="7">
        <v>0</v>
      </c>
      <c r="E11" s="7">
        <v>57155034.059999973</v>
      </c>
      <c r="F11" s="7">
        <v>0</v>
      </c>
      <c r="G11" s="7">
        <f t="shared" si="0"/>
        <v>57155034.059999973</v>
      </c>
      <c r="H11" s="7">
        <f t="shared" si="1"/>
        <v>-37660965.589999974</v>
      </c>
      <c r="I11" s="37">
        <f t="shared" si="2"/>
        <v>-1.9319192218883174</v>
      </c>
      <c r="L11"/>
      <c r="M11" s="133"/>
      <c r="N11" s="133"/>
      <c r="O11" s="133"/>
      <c r="P11" s="133"/>
      <c r="Q11" s="133"/>
      <c r="R11" s="132"/>
      <c r="S11" s="132"/>
      <c r="T11" s="132"/>
      <c r="U11" s="132"/>
      <c r="V11" s="132"/>
      <c r="W11" s="132"/>
    </row>
    <row r="12" spans="1:23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7">
        <f t="shared" si="2"/>
        <v>1</v>
      </c>
      <c r="L12"/>
      <c r="M12" s="133"/>
      <c r="N12" s="133"/>
      <c r="O12" s="133"/>
      <c r="P12" s="133"/>
      <c r="Q12" s="133"/>
      <c r="R12" s="132"/>
      <c r="S12" s="132"/>
      <c r="T12" s="132"/>
      <c r="U12" s="132"/>
      <c r="V12" s="132"/>
      <c r="W12" s="132"/>
    </row>
    <row r="13" spans="1:23" s="5" customFormat="1" ht="24.95" customHeight="1" x14ac:dyDescent="0.25">
      <c r="A13" s="10" t="s">
        <v>12</v>
      </c>
      <c r="B13" s="11">
        <f>SUM(B8:B12)</f>
        <v>75651773.370000005</v>
      </c>
      <c r="C13" s="11">
        <f t="shared" ref="C13:H13" si="3">SUM(C8:C12)</f>
        <v>83343863.839999989</v>
      </c>
      <c r="D13" s="11">
        <f t="shared" si="3"/>
        <v>136672.00000000006</v>
      </c>
      <c r="E13" s="11">
        <f t="shared" si="3"/>
        <v>60858469.919999972</v>
      </c>
      <c r="F13" s="11">
        <f t="shared" si="3"/>
        <v>0</v>
      </c>
      <c r="G13" s="11">
        <f t="shared" si="3"/>
        <v>60858469.919999972</v>
      </c>
      <c r="H13" s="11">
        <f t="shared" si="3"/>
        <v>22485393.920000024</v>
      </c>
      <c r="I13" s="34">
        <f t="shared" si="2"/>
        <v>0.26979063465507824</v>
      </c>
      <c r="L13" s="1"/>
      <c r="M13" s="1"/>
      <c r="N13" s="1"/>
      <c r="O13" s="1"/>
      <c r="P13" s="1"/>
      <c r="Q13" s="1"/>
      <c r="R13" s="1"/>
      <c r="S13" s="132"/>
      <c r="T13" s="132"/>
      <c r="U13" s="132"/>
      <c r="V13" s="132"/>
      <c r="W13" s="132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7" t="str">
        <f t="shared" si="2"/>
        <v>NA</v>
      </c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7" t="str">
        <f t="shared" si="2"/>
        <v>NA</v>
      </c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spans="1:23" s="5" customFormat="1" x14ac:dyDescent="0.25">
      <c r="A16" s="6" t="s">
        <v>29</v>
      </c>
      <c r="B16" s="7">
        <v>75651773.570000023</v>
      </c>
      <c r="C16" s="7">
        <v>83343864.040000036</v>
      </c>
      <c r="D16" s="7">
        <v>5050785.9899999974</v>
      </c>
      <c r="E16" s="7">
        <v>56059548.620000087</v>
      </c>
      <c r="F16" s="7">
        <v>4051131.1700000009</v>
      </c>
      <c r="G16" s="7">
        <f t="shared" si="0"/>
        <v>60110679.790000089</v>
      </c>
      <c r="H16" s="7">
        <f t="shared" si="4"/>
        <v>23233184.249999948</v>
      </c>
      <c r="I16" s="37">
        <f t="shared" si="2"/>
        <v>0.27876298414541251</v>
      </c>
      <c r="L16" s="1"/>
      <c r="M16" s="1"/>
      <c r="N16" s="1"/>
      <c r="O16" s="1"/>
      <c r="P16" s="1"/>
      <c r="Q16" s="1"/>
      <c r="R16" s="1"/>
      <c r="S16" s="1"/>
      <c r="T16" s="1"/>
      <c r="W16" s="132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7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T17" s="1"/>
    </row>
    <row r="18" spans="1:16384" s="5" customFormat="1" ht="24.95" customHeight="1" x14ac:dyDescent="0.25">
      <c r="A18" s="10" t="s">
        <v>26</v>
      </c>
      <c r="B18" s="11">
        <f>SUM(B14:B17)</f>
        <v>75651773.570000023</v>
      </c>
      <c r="C18" s="11">
        <f t="shared" ref="C18:G18" si="5">SUM(C14:C17)</f>
        <v>83343864.040000036</v>
      </c>
      <c r="D18" s="11">
        <f t="shared" si="5"/>
        <v>5050785.9899999974</v>
      </c>
      <c r="E18" s="11">
        <f t="shared" si="5"/>
        <v>56059548.620000087</v>
      </c>
      <c r="F18" s="11">
        <f t="shared" si="5"/>
        <v>4051131.1700000009</v>
      </c>
      <c r="G18" s="11">
        <f t="shared" si="5"/>
        <v>60110679.790000089</v>
      </c>
      <c r="H18" s="11">
        <f t="shared" ref="H18" si="6">SUM(H14:H17)</f>
        <v>23233184.249999948</v>
      </c>
      <c r="I18" s="34">
        <f t="shared" si="2"/>
        <v>0.27876298414541251</v>
      </c>
      <c r="L18" s="1"/>
      <c r="M18" s="1"/>
      <c r="N18" s="1"/>
      <c r="O18" s="1"/>
      <c r="P18" s="1"/>
      <c r="Q18" s="1"/>
      <c r="R18" s="1"/>
      <c r="S18" s="1"/>
      <c r="T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</row>
    <row r="20" spans="1:16384" s="5" customFormat="1" x14ac:dyDescent="0.25">
      <c r="A20" s="6" t="s">
        <v>27</v>
      </c>
      <c r="B20" s="7">
        <f>B13-B18</f>
        <v>-0.20000001788139343</v>
      </c>
      <c r="C20" s="7">
        <f>C13-C18</f>
        <v>-0.20000004768371582</v>
      </c>
      <c r="D20" s="7">
        <f>D13-D18</f>
        <v>-4914113.9899999974</v>
      </c>
      <c r="E20" s="7">
        <f>E13-E18</f>
        <v>4798921.2999998853</v>
      </c>
      <c r="F20" s="7"/>
      <c r="G20" s="7">
        <f>G13-G18</f>
        <v>747790.12999988347</v>
      </c>
      <c r="H20" s="7">
        <f>H13-H18</f>
        <v>-747790.32999992371</v>
      </c>
      <c r="I20" s="16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16384" s="5" customFormat="1" x14ac:dyDescent="0.25">
      <c r="A22" s="18" t="s">
        <v>67</v>
      </c>
      <c r="B22" s="20"/>
      <c r="C22" s="20"/>
      <c r="D22" s="20"/>
      <c r="E22" s="20">
        <v>28575254</v>
      </c>
      <c r="F22" s="20"/>
      <c r="G22" s="20">
        <f>E22</f>
        <v>28575254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x14ac:dyDescent="0.25">
      <c r="A23" s="8" t="s">
        <v>28</v>
      </c>
      <c r="B23" s="9"/>
      <c r="C23" s="9"/>
      <c r="D23" s="9"/>
      <c r="E23" s="9">
        <f>SUM(E20:E22)</f>
        <v>33374175.299999885</v>
      </c>
      <c r="F23" s="9"/>
      <c r="G23" s="9">
        <f>SUM(G20:G22)</f>
        <v>29323044.129999883</v>
      </c>
      <c r="H23" s="9"/>
      <c r="I23" s="17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29"/>
      <c r="B24" s="31"/>
      <c r="C24" s="31"/>
      <c r="D24" s="31"/>
      <c r="E24" s="31"/>
      <c r="F24" s="31"/>
      <c r="G24" s="31"/>
      <c r="H24" s="31"/>
      <c r="K24" s="1"/>
      <c r="L24" s="13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16384" s="5" customFormat="1" x14ac:dyDescent="0.25">
      <c r="B25" s="28"/>
      <c r="C25" s="134"/>
      <c r="E25" s="1"/>
      <c r="F25" s="1"/>
      <c r="G25" s="1"/>
      <c r="H25" s="1"/>
      <c r="I25" s="1"/>
      <c r="J25" s="1"/>
      <c r="K25" s="1"/>
      <c r="L25" s="13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16384" s="5" customFormat="1" x14ac:dyDescent="0.25">
      <c r="A26" s="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B27" s="131"/>
      <c r="C27" s="131"/>
      <c r="D27" s="131"/>
      <c r="E27" s="131"/>
      <c r="F27" s="131"/>
      <c r="G27" s="131"/>
      <c r="H27" s="131"/>
      <c r="I27" s="131"/>
      <c r="J27" s="131"/>
      <c r="K27" s="131"/>
    </row>
    <row r="28" spans="1:16384" x14ac:dyDescent="0.25">
      <c r="B28" s="131"/>
      <c r="C28" s="131"/>
      <c r="D28" s="131"/>
      <c r="E28" s="131"/>
      <c r="F28" s="131"/>
      <c r="G28" s="131"/>
      <c r="H28" s="131"/>
      <c r="I28" s="131"/>
      <c r="J28" s="131"/>
      <c r="K28" s="131"/>
    </row>
    <row r="29" spans="1:16384" x14ac:dyDescent="0.25">
      <c r="B29" s="131"/>
      <c r="C29" s="131"/>
      <c r="D29" s="131"/>
      <c r="E29" s="131"/>
      <c r="F29" s="131"/>
      <c r="G29" s="131"/>
      <c r="H29" s="131"/>
    </row>
    <row r="30" spans="1:16384" x14ac:dyDescent="0.25">
      <c r="B30" s="131"/>
      <c r="C30" s="131"/>
      <c r="D30" s="131"/>
      <c r="E30" s="131"/>
      <c r="F30" s="131"/>
      <c r="G30" s="131"/>
      <c r="H30" s="131"/>
      <c r="J30" s="131"/>
      <c r="L30" s="131"/>
    </row>
    <row r="31" spans="1:16384" x14ac:dyDescent="0.25"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16384" x14ac:dyDescent="0.25">
      <c r="B32" s="131"/>
      <c r="C32" s="131"/>
      <c r="D32" s="131"/>
      <c r="E32" s="131"/>
      <c r="F32" s="131"/>
      <c r="G32" s="131"/>
      <c r="H32" s="131"/>
      <c r="I32" s="131"/>
      <c r="J32" s="131"/>
      <c r="K32" s="131"/>
    </row>
    <row r="33" spans="2:11" x14ac:dyDescent="0.25">
      <c r="B33" s="131"/>
      <c r="C33" s="131"/>
      <c r="D33" s="131"/>
      <c r="E33" s="131"/>
      <c r="F33" s="131"/>
      <c r="G33" s="131"/>
      <c r="H33" s="131"/>
      <c r="I33" s="131"/>
      <c r="J33" s="131"/>
      <c r="K33" s="131"/>
    </row>
    <row r="34" spans="2:11" x14ac:dyDescent="0.25"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2:11" x14ac:dyDescent="0.25">
      <c r="E35" s="1"/>
      <c r="F35" s="1"/>
      <c r="G35" s="1"/>
      <c r="H35" s="1"/>
    </row>
    <row r="36" spans="2:11" x14ac:dyDescent="0.25">
      <c r="G36" s="1"/>
      <c r="H36" s="1"/>
    </row>
    <row r="37" spans="2:11" x14ac:dyDescent="0.25">
      <c r="H37" s="1"/>
    </row>
    <row r="38" spans="2:11" x14ac:dyDescent="0.25">
      <c r="H38" s="1"/>
    </row>
    <row r="39" spans="2:11" x14ac:dyDescent="0.25">
      <c r="H39" s="1"/>
    </row>
    <row r="40" spans="2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schemas.microsoft.com/office/2006/metadata/properties"/>
    <ds:schemaRef ds:uri="edc4a2e3-56ec-4fd2-a9db-893721e9ab6c"/>
    <ds:schemaRef ds:uri="http://purl.org/dc/elements/1.1/"/>
    <ds:schemaRef ds:uri="http://schemas.openxmlformats.org/package/2006/metadata/core-properties"/>
    <ds:schemaRef ds:uri="http://purl.org/dc/terms/"/>
    <ds:schemaRef ds:uri="fd92ff4e-e524-4e6b-bcac-5c88d6f646b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2024-07-17T17:54:02Z</cp:lastPrinted>
  <dcterms:created xsi:type="dcterms:W3CDTF">2020-01-29T12:55:36Z</dcterms:created>
  <dcterms:modified xsi:type="dcterms:W3CDTF">2024-07-17T17:54:31Z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