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8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4" l="1"/>
  <c r="F31" i="1"/>
  <c r="F18" i="5" l="1"/>
  <c r="F20" i="10" l="1"/>
  <c r="F19" i="10"/>
  <c r="F16" i="10"/>
  <c r="F15" i="10"/>
  <c r="F13" i="10"/>
  <c r="F10" i="10"/>
  <c r="F9" i="10"/>
  <c r="T11" i="10"/>
  <c r="T12" i="10"/>
  <c r="T14" i="10"/>
  <c r="T17" i="10"/>
  <c r="T18" i="10"/>
  <c r="T21" i="10"/>
  <c r="T22" i="10"/>
  <c r="T23" i="10"/>
  <c r="T24" i="10"/>
  <c r="T25" i="10"/>
  <c r="D45" i="10" l="1"/>
  <c r="D44" i="10"/>
  <c r="G17" i="4" l="1"/>
  <c r="H17" i="4" s="1"/>
  <c r="I17" i="4" s="1"/>
  <c r="C13" i="1" l="1"/>
  <c r="E18" i="10"/>
  <c r="Q26" i="10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G30" i="1"/>
  <c r="I23" i="1"/>
  <c r="G16" i="4" l="1"/>
  <c r="H16" i="4" s="1"/>
  <c r="I16" i="4" s="1"/>
  <c r="S26" i="10" l="1"/>
  <c r="G8" i="1"/>
  <c r="G9" i="1"/>
  <c r="G10" i="1"/>
  <c r="G11" i="1"/>
  <c r="G12" i="1"/>
  <c r="G12" i="5" l="1"/>
  <c r="G11" i="5"/>
  <c r="G10" i="5"/>
  <c r="G9" i="5"/>
  <c r="G8" i="5"/>
  <c r="F48" i="10" l="1"/>
  <c r="G48" i="10"/>
  <c r="H48" i="10"/>
  <c r="I48" i="10"/>
  <c r="J48" i="10"/>
  <c r="K48" i="10"/>
  <c r="L48" i="10"/>
  <c r="M48" i="10"/>
  <c r="N48" i="10"/>
  <c r="O48" i="10"/>
  <c r="P48" i="10"/>
  <c r="F49" i="10"/>
  <c r="G49" i="10"/>
  <c r="H49" i="10"/>
  <c r="I49" i="10"/>
  <c r="J49" i="10"/>
  <c r="K49" i="10"/>
  <c r="L49" i="10"/>
  <c r="M49" i="10"/>
  <c r="N49" i="10"/>
  <c r="O49" i="10"/>
  <c r="P49" i="10"/>
  <c r="E48" i="10"/>
  <c r="I29" i="2" l="1"/>
  <c r="I9" i="2"/>
  <c r="I8" i="3"/>
  <c r="G29" i="2"/>
  <c r="H29" i="2" s="1"/>
  <c r="B48" i="10"/>
  <c r="C44" i="10"/>
  <c r="M46" i="10"/>
  <c r="H11" i="1"/>
  <c r="I11" i="1" s="1"/>
  <c r="T44" i="10" l="1"/>
  <c r="G21" i="4"/>
  <c r="H21" i="4" s="1"/>
  <c r="I21" i="4" s="1"/>
  <c r="C13" i="3" l="1"/>
  <c r="D13" i="3"/>
  <c r="E13" i="3"/>
  <c r="F13" i="3"/>
  <c r="B13" i="3"/>
  <c r="C10" i="3"/>
  <c r="D10" i="3"/>
  <c r="E10" i="3"/>
  <c r="F10" i="3"/>
  <c r="G10" i="3"/>
  <c r="H10" i="3"/>
  <c r="G17" i="5" l="1"/>
  <c r="G16" i="5"/>
  <c r="G15" i="5"/>
  <c r="G14" i="5"/>
  <c r="G15" i="4" l="1"/>
  <c r="H15" i="4" s="1"/>
  <c r="I15" i="4" s="1"/>
  <c r="H26" i="10" l="1"/>
  <c r="G24" i="4" l="1"/>
  <c r="H24" i="4" s="1"/>
  <c r="G23" i="4"/>
  <c r="H23" i="4" s="1"/>
  <c r="G22" i="4"/>
  <c r="H22" i="4" s="1"/>
  <c r="G20" i="4"/>
  <c r="H20" i="4" s="1"/>
  <c r="I20" i="4" s="1"/>
  <c r="G19" i="4"/>
  <c r="H19" i="4" s="1"/>
  <c r="G18" i="4"/>
  <c r="H18" i="4" s="1"/>
  <c r="G14" i="4"/>
  <c r="H14" i="4" s="1"/>
  <c r="I22" i="4" l="1"/>
  <c r="I23" i="4"/>
  <c r="H29" i="1" l="1"/>
  <c r="I29" i="1" s="1"/>
  <c r="C41" i="10" l="1"/>
  <c r="C42" i="10"/>
  <c r="C43" i="10"/>
  <c r="C49" i="10" s="1"/>
  <c r="C45" i="10"/>
  <c r="G11" i="3"/>
  <c r="G13" i="3" s="1"/>
  <c r="G12" i="3"/>
  <c r="C48" i="10" l="1"/>
  <c r="C50" i="10" s="1"/>
  <c r="I14" i="4"/>
  <c r="G8" i="4" l="1"/>
  <c r="G9" i="4"/>
  <c r="G10" i="4"/>
  <c r="G11" i="4"/>
  <c r="E37" i="1" l="1"/>
  <c r="G37" i="1" s="1"/>
  <c r="G36" i="1"/>
  <c r="H67" i="10" l="1"/>
  <c r="F26" i="10"/>
  <c r="E21" i="10"/>
  <c r="E22" i="10"/>
  <c r="E23" i="10"/>
  <c r="E24" i="10"/>
  <c r="E25" i="10"/>
  <c r="H28" i="1" l="1"/>
  <c r="I28" i="1" s="1"/>
  <c r="G13" i="4" l="1"/>
  <c r="C31" i="1" l="1"/>
  <c r="D31" i="1"/>
  <c r="E31" i="1"/>
  <c r="B31" i="1"/>
  <c r="G31" i="1" l="1"/>
  <c r="U26" i="10"/>
  <c r="C12" i="4" l="1"/>
  <c r="D12" i="4"/>
  <c r="E12" i="4"/>
  <c r="F12" i="4"/>
  <c r="B12" i="4"/>
  <c r="I18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9" i="10"/>
  <c r="E20" i="10"/>
  <c r="T20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30" i="1"/>
  <c r="I30" i="1" s="1"/>
  <c r="H26" i="1"/>
  <c r="I26" i="1" s="1"/>
  <c r="H25" i="1"/>
  <c r="I25" i="1" s="1"/>
  <c r="B13" i="1"/>
  <c r="D13" i="1"/>
  <c r="E13" i="1"/>
  <c r="F13" i="1"/>
  <c r="B68" i="10"/>
  <c r="E49" i="10"/>
  <c r="E53" i="10"/>
  <c r="P46" i="10"/>
  <c r="O46" i="10"/>
  <c r="N46" i="10"/>
  <c r="L46" i="10"/>
  <c r="K46" i="10"/>
  <c r="J46" i="10"/>
  <c r="I46" i="10"/>
  <c r="H46" i="10"/>
  <c r="G46" i="10"/>
  <c r="F46" i="10"/>
  <c r="E46" i="10"/>
  <c r="B46" i="10"/>
  <c r="T45" i="10"/>
  <c r="T43" i="10"/>
  <c r="T42" i="10"/>
  <c r="T41" i="10"/>
  <c r="P26" i="10"/>
  <c r="O26" i="10"/>
  <c r="N26" i="10"/>
  <c r="M26" i="10"/>
  <c r="E15" i="10"/>
  <c r="T15" i="10" s="1"/>
  <c r="E14" i="10"/>
  <c r="E12" i="10"/>
  <c r="E10" i="10"/>
  <c r="T10" i="10" s="1"/>
  <c r="G22" i="5"/>
  <c r="G29" i="4"/>
  <c r="G17" i="3"/>
  <c r="G36" i="2"/>
  <c r="G35" i="1"/>
  <c r="C18" i="5"/>
  <c r="D18" i="5"/>
  <c r="E18" i="5"/>
  <c r="B18" i="5"/>
  <c r="B25" i="4"/>
  <c r="C25" i="4"/>
  <c r="D25" i="4"/>
  <c r="E25" i="4"/>
  <c r="I15" i="5"/>
  <c r="I10" i="4"/>
  <c r="H8" i="1"/>
  <c r="I8" i="1" s="1"/>
  <c r="H9" i="1"/>
  <c r="I9" i="1" s="1"/>
  <c r="H10" i="1"/>
  <c r="I10" i="1" s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4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50" i="10" l="1"/>
  <c r="H10" i="2"/>
  <c r="I10" i="2" s="1"/>
  <c r="H9" i="2"/>
  <c r="H11" i="2"/>
  <c r="I11" i="2" s="1"/>
  <c r="H12" i="2"/>
  <c r="I12" i="2" s="1"/>
  <c r="E50" i="10"/>
  <c r="E11" i="10"/>
  <c r="J26" i="10"/>
  <c r="O50" i="10"/>
  <c r="G50" i="10"/>
  <c r="B50" i="10"/>
  <c r="I50" i="10"/>
  <c r="E19" i="10"/>
  <c r="T19" i="10" s="1"/>
  <c r="H50" i="10"/>
  <c r="L50" i="10"/>
  <c r="J50" i="10"/>
  <c r="M50" i="10"/>
  <c r="F50" i="10"/>
  <c r="E54" i="10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B20" i="5"/>
  <c r="K50" i="10"/>
  <c r="E9" i="10"/>
  <c r="T9" i="10" s="1"/>
  <c r="L26" i="10"/>
  <c r="P50" i="10"/>
  <c r="E17" i="10"/>
  <c r="E33" i="1"/>
  <c r="E38" i="1" s="1"/>
  <c r="E20" i="5"/>
  <c r="E23" i="5" s="1"/>
  <c r="D41" i="10"/>
  <c r="D42" i="10"/>
  <c r="D43" i="10"/>
  <c r="D49" i="10"/>
  <c r="B58" i="10" s="1"/>
  <c r="D20" i="5"/>
  <c r="C20" i="5"/>
  <c r="C27" i="4"/>
  <c r="D34" i="2"/>
  <c r="C34" i="2"/>
  <c r="B33" i="1"/>
  <c r="E15" i="3"/>
  <c r="E18" i="3" s="1"/>
  <c r="D15" i="3"/>
  <c r="B34" i="2"/>
  <c r="D33" i="1"/>
  <c r="C33" i="1"/>
  <c r="G13" i="1"/>
  <c r="G13" i="5"/>
  <c r="B27" i="4"/>
  <c r="H18" i="5"/>
  <c r="I18" i="5" s="1"/>
  <c r="G18" i="5"/>
  <c r="G12" i="4"/>
  <c r="E27" i="4"/>
  <c r="E30" i="4" s="1"/>
  <c r="D27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1" i="1"/>
  <c r="I31" i="1" s="1"/>
  <c r="I19" i="4"/>
  <c r="H25" i="4"/>
  <c r="I25" i="4" s="1"/>
  <c r="F53" i="10"/>
  <c r="G25" i="4"/>
  <c r="G26" i="10"/>
  <c r="C46" i="10"/>
  <c r="D46" i="10" s="1"/>
  <c r="H8" i="2"/>
  <c r="I8" i="2" s="1"/>
  <c r="I26" i="10"/>
  <c r="K26" i="10"/>
  <c r="E55" i="10" l="1"/>
  <c r="D50" i="10"/>
  <c r="B59" i="10" s="1"/>
  <c r="E26" i="10"/>
  <c r="T26" i="10"/>
  <c r="C6" i="10"/>
  <c r="G33" i="1"/>
  <c r="G38" i="1" s="1"/>
  <c r="G34" i="2"/>
  <c r="G37" i="2" s="1"/>
  <c r="G20" i="5"/>
  <c r="G23" i="5" s="1"/>
  <c r="G15" i="3"/>
  <c r="G18" i="3" s="1"/>
  <c r="H13" i="1"/>
  <c r="I13" i="1" s="1"/>
  <c r="I12" i="1"/>
  <c r="G27" i="4"/>
  <c r="G30" i="4" s="1"/>
  <c r="H13" i="2"/>
  <c r="H20" i="5"/>
  <c r="I13" i="5"/>
  <c r="G53" i="10"/>
  <c r="F55" i="10"/>
  <c r="D48" i="10"/>
  <c r="B57" i="10" s="1"/>
  <c r="I12" i="4"/>
  <c r="H27" i="4"/>
  <c r="I10" i="3"/>
  <c r="H15" i="3"/>
  <c r="B16" i="10" l="1"/>
  <c r="C16" i="10" s="1"/>
  <c r="B30" i="10"/>
  <c r="B15" i="10"/>
  <c r="C15" i="10" s="1"/>
  <c r="I13" i="2"/>
  <c r="H34" i="2"/>
  <c r="G55" i="10"/>
  <c r="H53" i="10"/>
  <c r="H55" i="10" l="1"/>
  <c r="I53" i="10"/>
  <c r="I55" i="10" l="1"/>
  <c r="J53" i="10"/>
  <c r="K53" i="10" l="1"/>
  <c r="J55" i="10"/>
  <c r="K55" i="10" l="1"/>
  <c r="L53" i="10"/>
  <c r="M53" i="10" l="1"/>
  <c r="L55" i="10"/>
  <c r="M55" i="10" l="1"/>
  <c r="N53" i="10"/>
  <c r="O53" i="10" l="1"/>
  <c r="N55" i="10"/>
  <c r="O55" i="10" l="1"/>
  <c r="P53" i="10"/>
  <c r="P55" i="10" s="1"/>
</calcChain>
</file>

<file path=xl/sharedStrings.xml><?xml version="1.0" encoding="utf-8"?>
<sst xmlns="http://schemas.openxmlformats.org/spreadsheetml/2006/main" count="283" uniqueCount="85">
  <si>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</si>
  <si>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</si>
  <si>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</si>
  <si>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</si>
  <si>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</si>
  <si>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</si>
  <si>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</si>
  <si>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</si>
  <si>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</si>
  <si>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</si>
  <si>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</si>
  <si>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</si>
  <si>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</si>
  <si>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</si>
  <si>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</si>
  <si>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</si>
  <si>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</si>
  <si>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</si>
  <si>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</si>
  <si>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</si>
  <si>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</si>
  <si>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</si>
  <si>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</si>
  <si>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</si>
  <si>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</si>
  <si>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</si>
  <si>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</si>
  <si>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</si>
  <si>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</si>
  <si>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</si>
  <si>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</si>
  <si>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</si>
  <si>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</si>
  <si>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</si>
  <si>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</si>
  <si>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</si>
  <si>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</si>
  <si>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</si>
  <si>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</si>
  <si>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</si>
  <si>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</si>
  <si>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</si>
  <si>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</si>
  <si>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</si>
  <si>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</si>
  <si>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</si>
  <si>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</si>
  <si>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</si>
  <si>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</si>
  <si>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</si>
  <si>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</si>
  <si>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</si>
  <si>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</si>
  <si>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</si>
  <si>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</si>
  <si>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</si>
  <si>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</si>
  <si>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</si>
  <si>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</si>
  <si>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</si>
  <si>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</si>
  <si>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</si>
  <si>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</si>
  <si>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</si>
  <si>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</si>
  <si>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</si>
  <si>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</si>
  <si>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</si>
  <si>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</si>
  <si>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</si>
  <si>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</si>
  <si>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</si>
  <si>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</si>
  <si>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</si>
  <si>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</si>
  <si>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</si>
  <si>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</si>
  <si>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</si>
  <si>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</si>
  <si>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</si>
  <si>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</si>
  <si>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</si>
  <si>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$1,606,225,147</t>
  </si>
  <si>
    <t>GENERAL OPERATIONS YTD EXPENSES
$111,406,398</t>
  </si>
  <si>
    <t>(LOCAL &amp; OTHER)  Budgeted: $985,378,424  Actual: $21,969,855  2.23%
(STATE)  Budgeted: $554,011,604  Actual: $15,352,952   2.77%
TOTAL Budgeted: $1,539,390,028  Actual: $37,322,807   2.42%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</si>
</sst>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1494818748.92998</c:v>
                </c:pt>
                <c:pt idx="1">
                  <c:v>111406398.43999997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7395440915923623E-3"/>
                  <c:y val="-0.1468455049459637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7.3553995319291209E-3"/>
                  <c:y val="-6.0189794637625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25791284614999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8.7843583243166837E-3"/>
                  <c:y val="-5.51319790442311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591746367711076E-3"/>
                  <c:y val="2.350860039456758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030142922204917E-2"/>
                  <c:y val="0.102118766945796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5564199159159"/>
                      <c:h val="5.42467330289129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3903363634209712E-3"/>
                  <c:y val="0.1174002919384084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3749726870901419"/>
                  <c:y val="7.24182000367523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5.1706405305154308E-2"/>
                  <c:y val="1.87680337844163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4.7691526021634456E-2"/>
                  <c:y val="4.48762035524951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3.1926014263262227E-2"/>
                  <c:y val="-2.06225014475568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0917382067462229"/>
                  <c:y val="5.925905893203230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3348707539942673E-2"/>
                  <c:y val="-0.1118042279061220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9458375125376129"/>
                  <c:y val="2.59076961482852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0130707081875548"/>
                  <c:y val="-2.878831691613185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3.0659642970907473E-2"/>
                  <c:y val="-4.730040184871214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1.8363226161423805E-2"/>
                  <c:y val="-5.18988825207945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22460580.959999979</c:v>
                </c:pt>
                <c:pt idx="1">
                  <c:v>3589183.660000002</c:v>
                </c:pt>
                <c:pt idx="2">
                  <c:v>2711371.3800000004</c:v>
                </c:pt>
                <c:pt idx="3">
                  <c:v>28253.02</c:v>
                </c:pt>
                <c:pt idx="4">
                  <c:v>564956.19999999984</c:v>
                </c:pt>
                <c:pt idx="5">
                  <c:v>3434734.8600000013</c:v>
                </c:pt>
                <c:pt idx="6">
                  <c:v>10414546.320000006</c:v>
                </c:pt>
                <c:pt idx="7">
                  <c:v>2472287.3699999992</c:v>
                </c:pt>
                <c:pt idx="8">
                  <c:v>32587399.329999991</c:v>
                </c:pt>
                <c:pt idx="9">
                  <c:v>0</c:v>
                </c:pt>
                <c:pt idx="10">
                  <c:v>3918565.9700000007</c:v>
                </c:pt>
                <c:pt idx="11">
                  <c:v>8085656.8000000054</c:v>
                </c:pt>
                <c:pt idx="12">
                  <c:v>123126.34</c:v>
                </c:pt>
                <c:pt idx="13">
                  <c:v>0</c:v>
                </c:pt>
                <c:pt idx="14">
                  <c:v>15736.230000000001</c:v>
                </c:pt>
                <c:pt idx="15">
                  <c:v>21000000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$1,606,225,147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$111,406,398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22460580.959999979</c:v>
                </c:pt>
                <c:pt idx="1">
                  <c:v>3589183.660000002</c:v>
                </c:pt>
                <c:pt idx="2">
                  <c:v>2711371.3800000004</c:v>
                </c:pt>
                <c:pt idx="3">
                  <c:v>28253.02</c:v>
                </c:pt>
                <c:pt idx="4">
                  <c:v>564956.19999999984</c:v>
                </c:pt>
                <c:pt idx="5">
                  <c:v>3434734.8600000013</c:v>
                </c:pt>
                <c:pt idx="6">
                  <c:v>10414546.320000006</c:v>
                </c:pt>
                <c:pt idx="7">
                  <c:v>2472287.3699999992</c:v>
                </c:pt>
                <c:pt idx="8">
                  <c:v>32587399.329999991</c:v>
                </c:pt>
                <c:pt idx="9">
                  <c:v>0</c:v>
                </c:pt>
                <c:pt idx="10">
                  <c:v>3918565.9700000007</c:v>
                </c:pt>
                <c:pt idx="11">
                  <c:v>8085656.8000000054</c:v>
                </c:pt>
                <c:pt idx="12">
                  <c:v>123126.34</c:v>
                </c:pt>
                <c:pt idx="13">
                  <c:v>0</c:v>
                </c:pt>
                <c:pt idx="14">
                  <c:v>15736.230000000001</c:v>
                </c:pt>
                <c:pt idx="15">
                  <c:v>21000000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6662640"/>
        <c:axId val="526661856"/>
      </c:barChart>
      <c:valAx>
        <c:axId val="526661856"/>
        <c:scaling>
          <c:orientation val="minMax"/>
          <c:max val="1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6264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526662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61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(2024)'!$B$70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(2024)'!$B$71:$B$75</c:f>
              <c:numCache>
                <c:formatCode>#,##0_);[Red]\(#,##0\)</c:formatCode>
                <c:ptCount val="5"/>
                <c:pt idx="0">
                  <c:v>970378423.84000003</c:v>
                </c:pt>
                <c:pt idx="1">
                  <c:v>15000000</c:v>
                </c:pt>
                <c:pt idx="2">
                  <c:v>554011604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(2024)'!$C$70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(2024)'!$C$71:$C$75</c:f>
              <c:numCache>
                <c:formatCode>#,##0_);[Red]\(#,##0\)</c:formatCode>
                <c:ptCount val="5"/>
                <c:pt idx="0">
                  <c:v>18226313.119999997</c:v>
                </c:pt>
                <c:pt idx="1">
                  <c:v>3743541.4000000004</c:v>
                </c:pt>
                <c:pt idx="2">
                  <c:v>15352952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$985,378,424  Actual: $21,969,855  2.23%
(STATE)  Budgeted: $554,011,604  Actual: $15,352,952   2.77%
TOTAL Budgeted: $1,539,390,028  Actual: $37,322,807   2.42%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$985,378,424  Actual: $21,969,855  2.23%
(STATE)  Budgeted: $554,011,604  Actual: $15,352,952   2.77%
TOTAL Budgeted: $1,539,390,028  Actual: $37,322,807   2.42%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660680"/>
        <c:axId val="52664852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$21,969,855  2.23%
(STATE)  Budgeted: $554,011,604  Actual: $15,352,952   2.77%
TOTAL Budgeted: $1,539,390,028  Actual: $37,322,807   2.42%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$21,969,855  2.23%
(STATE)  Budgeted: $554,011,604  Actual: $15,352,952   2.77%
TOTAL Budgeted: $1,539,390,028  Actual: $37,322,807   2.42%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$21,969,855  2.23%
(STATE)  Budgeted: $554,011,604  Actual: $15,352,952   2.77%
TOTAL Budgeted: $1,539,390,028  Actual: $37,322,807   2.42%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$21,969,855  2.23%
(STATE)  Budgeted: $554,011,604  Actual: $15,352,952   2.77%
TOTAL Budgeted: $1,539,390,028  Actual: $37,322,807   2.42%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52666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48528"/>
        <c:crosses val="autoZero"/>
        <c:auto val="1"/>
        <c:lblAlgn val="ctr"/>
        <c:lblOffset val="500"/>
        <c:noMultiLvlLbl val="0"/>
      </c:catAx>
      <c:valAx>
        <c:axId val="52664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66068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8:$F$28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$1,606,225,147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$111,406,398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$1,606,225,147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$985,378,424  Actual: $21,969,855  2.23%</a:t>
          </a:r>
        </a:p>
        <a:p xmlns:a="http://schemas.openxmlformats.org/drawingml/2006/main">
          <a:pPr algn="ctr"/>
          <a:r>
            <a:rPr lang="en-US" sz="1100"/>
            <a:t>(STATE)  Budgeted: $554,011,604  Actual: $15,352,952   2.77%</a:t>
          </a:r>
        </a:p>
        <a:p xmlns:a="http://schemas.openxmlformats.org/drawingml/2006/main">
          <a:pPr algn="ctr"/>
          <a:r>
            <a:rPr lang="en-US" sz="1100"/>
            <a:t>TOTAL Budgeted: $1,539,390,028  Actual: $37,322,807   2.42%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0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29" bestFit="1" customWidth="1"/>
    <col min="17" max="17" width="13.5703125" style="129" bestFit="1" customWidth="1"/>
    <col min="18" max="16384" width="9.140625" style="1"/>
  </cols>
  <sheetData>
    <row r="1" spans="1:23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L1" s="130"/>
      <c r="M1" s="130"/>
      <c r="N1" s="130"/>
      <c r="O1" s="130"/>
      <c r="P1" s="130"/>
    </row>
    <row r="2" spans="1:23" ht="18.75" x14ac:dyDescent="0.3">
      <c r="A2" s="151" t="s">
        <v>77</v>
      </c>
      <c r="B2" s="151"/>
      <c r="C2" s="151"/>
      <c r="D2" s="151"/>
      <c r="E2" s="151"/>
      <c r="F2" s="151"/>
      <c r="G2" s="151"/>
      <c r="H2" s="151"/>
      <c r="I2" s="151"/>
      <c r="L2" s="130"/>
      <c r="M2" s="130"/>
      <c r="N2" s="130"/>
      <c r="O2" s="130"/>
      <c r="P2" s="130"/>
    </row>
    <row r="3" spans="1:23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L3" s="130"/>
      <c r="M3" s="130"/>
      <c r="N3" s="130"/>
      <c r="O3" s="130"/>
      <c r="P3" s="130"/>
    </row>
    <row r="4" spans="1:23" x14ac:dyDescent="0.25">
      <c r="A4" s="152">
        <v>45535</v>
      </c>
      <c r="B4" s="152"/>
      <c r="C4" s="152"/>
      <c r="D4" s="152"/>
      <c r="E4" s="152"/>
      <c r="F4" s="152"/>
      <c r="G4" s="152"/>
      <c r="H4" s="152"/>
      <c r="I4" s="152"/>
      <c r="L4" s="130"/>
      <c r="M4" s="130"/>
      <c r="N4" s="130"/>
      <c r="O4" s="130"/>
      <c r="P4" s="130"/>
    </row>
    <row r="5" spans="1:23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L5" s="130"/>
      <c r="M5" s="130"/>
      <c r="N5" s="130"/>
      <c r="O5" s="130"/>
      <c r="P5" s="130"/>
    </row>
    <row r="6" spans="1:23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L6" s="130"/>
      <c r="M6" s="130"/>
      <c r="N6" s="130"/>
      <c r="O6" s="130"/>
      <c r="P6" s="13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  <c r="Q7" s="130"/>
    </row>
    <row r="8" spans="1:23" s="5" customFormat="1" x14ac:dyDescent="0.2">
      <c r="A8" s="6" t="s">
        <v>8</v>
      </c>
      <c r="B8" s="7">
        <v>970338398</v>
      </c>
      <c r="C8" s="7">
        <v>970378423.84000003</v>
      </c>
      <c r="D8" s="7">
        <v>18226313.119999997</v>
      </c>
      <c r="E8" s="7">
        <v>18226313.119999997</v>
      </c>
      <c r="F8" s="7">
        <v>0</v>
      </c>
      <c r="G8" s="7">
        <f t="shared" ref="G8:G30" si="0">SUM(E8:F8)</f>
        <v>18226313.119999997</v>
      </c>
      <c r="H8" s="7">
        <f t="shared" ref="H8:H12" si="1">C8-G8</f>
        <v>952152110.72000003</v>
      </c>
      <c r="I8" s="33">
        <f>IF(C8=0,"NA",H8/C8)</f>
        <v>0.98121731411970758</v>
      </c>
      <c r="L8"/>
      <c r="M8" s="131"/>
      <c r="N8" s="131"/>
      <c r="O8" s="131"/>
      <c r="P8" s="131"/>
      <c r="Q8" s="131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15000000</v>
      </c>
      <c r="C9" s="7">
        <v>15000000</v>
      </c>
      <c r="D9" s="7">
        <v>1742554.54</v>
      </c>
      <c r="E9" s="7">
        <v>3743541.4000000004</v>
      </c>
      <c r="F9" s="7">
        <v>0</v>
      </c>
      <c r="G9" s="7">
        <f>SUM(E9:F9)</f>
        <v>3743541.4000000004</v>
      </c>
      <c r="H9" s="7">
        <f>C9-G9</f>
        <v>11256458.6</v>
      </c>
      <c r="I9" s="33">
        <f t="shared" ref="I9:I30" si="2">IF(C9=0,"NA",H9/C9)</f>
        <v>0.7504305733333333</v>
      </c>
      <c r="L9"/>
      <c r="M9" s="131"/>
      <c r="N9" s="131"/>
      <c r="O9" s="131"/>
      <c r="P9" s="131"/>
      <c r="Q9" s="131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553170156</v>
      </c>
      <c r="C10" s="7">
        <v>554011604</v>
      </c>
      <c r="D10" s="7">
        <v>7509691</v>
      </c>
      <c r="E10" s="7">
        <v>15352952</v>
      </c>
      <c r="F10" s="7">
        <v>0</v>
      </c>
      <c r="G10" s="7">
        <f t="shared" si="0"/>
        <v>15352952</v>
      </c>
      <c r="H10" s="7">
        <f t="shared" si="1"/>
        <v>538658652</v>
      </c>
      <c r="I10" s="33">
        <f t="shared" si="2"/>
        <v>0.97228767071095501</v>
      </c>
      <c r="L10"/>
      <c r="M10" s="131"/>
      <c r="N10" s="131"/>
      <c r="O10" s="131"/>
      <c r="P10" s="131"/>
      <c r="Q10" s="131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0</v>
      </c>
      <c r="I11" s="33" t="str">
        <f t="shared" ref="I11" si="5">IF(C11=0,"NA",H11/C11)</f>
        <v>NA</v>
      </c>
      <c r="L11"/>
      <c r="M11" s="131"/>
      <c r="N11" s="131"/>
      <c r="O11" s="131"/>
      <c r="P11" s="131"/>
      <c r="Q11" s="131"/>
      <c r="S11" s="130"/>
      <c r="T11" s="130"/>
      <c r="U11" s="130"/>
      <c r="V11" s="130"/>
      <c r="W11" s="130"/>
    </row>
    <row r="12" spans="1:23" s="5" customFormat="1" x14ac:dyDescent="0.2">
      <c r="A12" s="6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3" t="str">
        <f t="shared" si="2"/>
        <v>NA</v>
      </c>
      <c r="L12"/>
      <c r="M12" s="131"/>
      <c r="N12" s="131"/>
      <c r="O12" s="131"/>
      <c r="P12" s="131"/>
      <c r="Q12" s="131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 t="shared" ref="B13:H13" si="6">SUM(B8:B12)</f>
        <v>1538508554</v>
      </c>
      <c r="C13" s="11">
        <f t="shared" si="6"/>
        <v>1539390027.8400002</v>
      </c>
      <c r="D13" s="11">
        <f t="shared" si="6"/>
        <v>27478558.659999996</v>
      </c>
      <c r="E13" s="11">
        <f t="shared" si="6"/>
        <v>37322806.519999996</v>
      </c>
      <c r="F13" s="11">
        <f t="shared" si="6"/>
        <v>0</v>
      </c>
      <c r="G13" s="11">
        <f t="shared" si="6"/>
        <v>37322806.519999996</v>
      </c>
      <c r="H13" s="11">
        <f t="shared" si="6"/>
        <v>1502067221.3200002</v>
      </c>
      <c r="I13" s="34">
        <f t="shared" si="2"/>
        <v>0.97575480817400795</v>
      </c>
      <c r="L13" s="1"/>
      <c r="M13" s="1"/>
      <c r="N13" s="1"/>
      <c r="O13" s="1"/>
      <c r="P13" s="129"/>
      <c r="Q13" s="1"/>
      <c r="R13" s="1"/>
      <c r="S13" s="1"/>
    </row>
    <row r="14" spans="1:23" s="5" customFormat="1" x14ac:dyDescent="0.25">
      <c r="A14" s="12" t="s">
        <v>13</v>
      </c>
      <c r="B14" s="13">
        <v>890586833.52998388</v>
      </c>
      <c r="C14" s="13">
        <v>897637856.76998496</v>
      </c>
      <c r="D14" s="13">
        <v>13021980.699999994</v>
      </c>
      <c r="E14" s="13">
        <v>22460580.959999979</v>
      </c>
      <c r="F14" s="13">
        <v>6497796.4400000041</v>
      </c>
      <c r="G14" s="13">
        <f t="shared" si="0"/>
        <v>28958377.399999984</v>
      </c>
      <c r="H14" s="13">
        <f t="shared" ref="H14:H30" si="7">C14-G14</f>
        <v>868679479.36998498</v>
      </c>
      <c r="I14" s="33">
        <f t="shared" si="2"/>
        <v>0.96773935370305975</v>
      </c>
      <c r="L14" s="129"/>
      <c r="M14" s="129"/>
      <c r="N14" s="129"/>
      <c r="O14" s="129"/>
      <c r="P14" s="129"/>
      <c r="Q14" s="130"/>
      <c r="R14" s="130"/>
      <c r="S14" s="130"/>
      <c r="T14" s="130"/>
      <c r="U14" s="130"/>
      <c r="V14" s="130"/>
      <c r="W14" s="130"/>
    </row>
    <row r="15" spans="1:23" s="5" customFormat="1" x14ac:dyDescent="0.25">
      <c r="A15" s="6" t="s">
        <v>14</v>
      </c>
      <c r="B15" s="7">
        <v>83629576.980000421</v>
      </c>
      <c r="C15" s="7">
        <v>76394431.530000031</v>
      </c>
      <c r="D15" s="7">
        <v>2302644.4400000037</v>
      </c>
      <c r="E15" s="7">
        <v>3589183.6600000006</v>
      </c>
      <c r="F15" s="7">
        <v>269880.07999999996</v>
      </c>
      <c r="G15" s="7">
        <f t="shared" si="0"/>
        <v>3859063.7400000007</v>
      </c>
      <c r="H15" s="7">
        <f t="shared" si="7"/>
        <v>72535367.790000036</v>
      </c>
      <c r="I15" s="33">
        <f t="shared" si="2"/>
        <v>0.94948501268074048</v>
      </c>
      <c r="L15" s="129"/>
      <c r="M15" s="129"/>
      <c r="N15" s="129"/>
      <c r="O15" s="129"/>
      <c r="P15" s="129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15</v>
      </c>
      <c r="B16" s="7">
        <v>23130297.31999997</v>
      </c>
      <c r="C16" s="7">
        <v>23528192.799999971</v>
      </c>
      <c r="D16" s="7">
        <v>1711023.4100000004</v>
      </c>
      <c r="E16" s="7">
        <v>2711371.3799999994</v>
      </c>
      <c r="F16" s="7">
        <v>176702.54000000004</v>
      </c>
      <c r="G16" s="7">
        <f t="shared" si="0"/>
        <v>2888073.9199999995</v>
      </c>
      <c r="H16" s="7">
        <f t="shared" si="7"/>
        <v>20640118.879999973</v>
      </c>
      <c r="I16" s="33">
        <f t="shared" si="2"/>
        <v>0.87725049923936349</v>
      </c>
      <c r="L16" s="129"/>
      <c r="M16" s="129"/>
      <c r="N16" s="129"/>
      <c r="O16" s="129"/>
      <c r="P16" s="129"/>
      <c r="Q16" s="130"/>
      <c r="R16" s="130"/>
      <c r="S16" s="130"/>
      <c r="T16" s="130"/>
      <c r="U16" s="130"/>
      <c r="V16" s="130"/>
      <c r="W16" s="130"/>
    </row>
    <row r="17" spans="1:23" s="5" customFormat="1" x14ac:dyDescent="0.2">
      <c r="A17" s="6" t="s">
        <v>16</v>
      </c>
      <c r="B17" s="7">
        <v>760474.74</v>
      </c>
      <c r="C17" s="7">
        <v>860599.28</v>
      </c>
      <c r="D17" s="7">
        <v>28253.02</v>
      </c>
      <c r="E17" s="7">
        <v>28253.02</v>
      </c>
      <c r="F17" s="7">
        <v>0</v>
      </c>
      <c r="G17" s="7">
        <f t="shared" si="0"/>
        <v>28253.02</v>
      </c>
      <c r="H17" s="7">
        <f t="shared" si="7"/>
        <v>832346.26</v>
      </c>
      <c r="I17" s="33">
        <f t="shared" si="2"/>
        <v>0.96717052796046954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s="5" customFormat="1" x14ac:dyDescent="0.2">
      <c r="A18" s="6" t="s">
        <v>17</v>
      </c>
      <c r="B18" s="7">
        <v>16206104.100000026</v>
      </c>
      <c r="C18" s="7">
        <v>18136691.510000013</v>
      </c>
      <c r="D18" s="7">
        <v>509046.99999999983</v>
      </c>
      <c r="E18" s="7">
        <v>564956.19999999984</v>
      </c>
      <c r="F18" s="7">
        <v>70913.56</v>
      </c>
      <c r="G18" s="7">
        <f t="shared" si="0"/>
        <v>635869.75999999978</v>
      </c>
      <c r="H18" s="7">
        <f t="shared" si="7"/>
        <v>17500821.750000015</v>
      </c>
      <c r="I18" s="33">
        <f t="shared" si="2"/>
        <v>0.96494014580060539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pans="1:23" s="5" customFormat="1" x14ac:dyDescent="0.2">
      <c r="A19" s="6" t="s">
        <v>18</v>
      </c>
      <c r="B19" s="7">
        <v>64236193.700000137</v>
      </c>
      <c r="C19" s="7">
        <v>64576307.65000008</v>
      </c>
      <c r="D19" s="7">
        <v>1730248.1800000006</v>
      </c>
      <c r="E19" s="7">
        <v>3434734.86</v>
      </c>
      <c r="F19" s="7">
        <v>2974482.2299999995</v>
      </c>
      <c r="G19" s="7">
        <f t="shared" si="0"/>
        <v>6409217.0899999999</v>
      </c>
      <c r="H19" s="7">
        <f t="shared" si="7"/>
        <v>58167090.560000077</v>
      </c>
      <c r="I19" s="33">
        <f t="shared" si="2"/>
        <v>0.90074971265409609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pans="1:23" s="5" customFormat="1" x14ac:dyDescent="0.2">
      <c r="A20" s="6" t="s">
        <v>19</v>
      </c>
      <c r="B20" s="7">
        <v>71948331.140000463</v>
      </c>
      <c r="C20" s="7">
        <v>71933955.610000461</v>
      </c>
      <c r="D20" s="7">
        <v>7269250.2399999909</v>
      </c>
      <c r="E20" s="7">
        <v>10414546.320000004</v>
      </c>
      <c r="F20" s="7">
        <v>841.52</v>
      </c>
      <c r="G20" s="7">
        <f t="shared" si="0"/>
        <v>10415387.840000004</v>
      </c>
      <c r="H20" s="7">
        <f t="shared" si="7"/>
        <v>61518567.770000458</v>
      </c>
      <c r="I20" s="33">
        <f t="shared" si="2"/>
        <v>0.8552090212240181</v>
      </c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 s="5" customFormat="1" x14ac:dyDescent="0.2">
      <c r="A21" s="6" t="s">
        <v>20</v>
      </c>
      <c r="B21" s="7">
        <v>21389017.800000001</v>
      </c>
      <c r="C21" s="7">
        <v>22290138.789999999</v>
      </c>
      <c r="D21" s="7">
        <v>1416812.5199999998</v>
      </c>
      <c r="E21" s="7">
        <v>2472287.3699999992</v>
      </c>
      <c r="F21" s="7">
        <v>1447558.98</v>
      </c>
      <c r="G21" s="7">
        <f t="shared" si="0"/>
        <v>3919846.3499999992</v>
      </c>
      <c r="H21" s="7">
        <f t="shared" si="7"/>
        <v>18370292.440000001</v>
      </c>
      <c r="I21" s="33">
        <f t="shared" si="2"/>
        <v>0.82414437222981518</v>
      </c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 s="5" customFormat="1" x14ac:dyDescent="0.2">
      <c r="A22" s="6" t="s">
        <v>70</v>
      </c>
      <c r="B22" s="7">
        <v>261443898.84999973</v>
      </c>
      <c r="C22" s="7">
        <v>261393898.84999973</v>
      </c>
      <c r="D22" s="7">
        <v>17568073.749999996</v>
      </c>
      <c r="E22" s="7">
        <v>32587399.330000013</v>
      </c>
      <c r="F22" s="7">
        <v>48076289.399999999</v>
      </c>
      <c r="G22" s="7">
        <f t="shared" si="0"/>
        <v>80663688.730000019</v>
      </c>
      <c r="H22" s="7">
        <f t="shared" si="7"/>
        <v>180730210.11999971</v>
      </c>
      <c r="I22" s="33">
        <f t="shared" si="2"/>
        <v>0.69140944343047317</v>
      </c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 s="5" customFormat="1" x14ac:dyDescent="0.2">
      <c r="A23" s="6" t="s">
        <v>76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" si="8">SUM(E23:F23)</f>
        <v>0</v>
      </c>
      <c r="H23" s="7">
        <f t="shared" ref="H23" si="9">C23-G23</f>
        <v>0</v>
      </c>
      <c r="I23" s="33" t="str">
        <f t="shared" ref="I23" si="10">IF(C23=0,"NA",H23/C23)</f>
        <v>NA</v>
      </c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3" s="5" customFormat="1" x14ac:dyDescent="0.2">
      <c r="A24" s="6" t="s">
        <v>21</v>
      </c>
      <c r="B24" s="7">
        <v>95646171.480000004</v>
      </c>
      <c r="C24" s="7">
        <v>95646171.480000004</v>
      </c>
      <c r="D24" s="7">
        <v>2088729.79</v>
      </c>
      <c r="E24" s="7">
        <v>3918565.97</v>
      </c>
      <c r="F24" s="7">
        <v>8752459.2200000007</v>
      </c>
      <c r="G24" s="7">
        <f t="shared" si="0"/>
        <v>12671025.190000001</v>
      </c>
      <c r="H24" s="7">
        <f t="shared" si="7"/>
        <v>82975146.290000007</v>
      </c>
      <c r="I24" s="33">
        <f t="shared" si="2"/>
        <v>0.86752187783439338</v>
      </c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 s="5" customFormat="1" x14ac:dyDescent="0.2">
      <c r="A25" s="6" t="s">
        <v>22</v>
      </c>
      <c r="B25" s="7">
        <v>43951806.070000008</v>
      </c>
      <c r="C25" s="7">
        <v>43825993.809999995</v>
      </c>
      <c r="D25" s="7">
        <v>4881252.2600000035</v>
      </c>
      <c r="E25" s="7">
        <v>8085656.8000000063</v>
      </c>
      <c r="F25" s="7">
        <v>2435304.3899999997</v>
      </c>
      <c r="G25" s="7">
        <f t="shared" si="0"/>
        <v>10520961.190000005</v>
      </c>
      <c r="H25" s="7">
        <f t="shared" si="7"/>
        <v>33305032.61999999</v>
      </c>
      <c r="I25" s="33">
        <f t="shared" si="2"/>
        <v>0.75993787532550183</v>
      </c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pans="1:23" s="5" customFormat="1" x14ac:dyDescent="0.25">
      <c r="A26" s="6" t="s">
        <v>23</v>
      </c>
      <c r="B26" s="7">
        <v>1492693.29</v>
      </c>
      <c r="C26" s="7">
        <v>1492693.29</v>
      </c>
      <c r="D26" s="7">
        <v>85864.19</v>
      </c>
      <c r="E26" s="7">
        <v>123126.33999999998</v>
      </c>
      <c r="F26" s="7">
        <v>0</v>
      </c>
      <c r="G26" s="7">
        <f t="shared" si="0"/>
        <v>123126.33999999998</v>
      </c>
      <c r="H26" s="7">
        <f t="shared" si="7"/>
        <v>1369566.95</v>
      </c>
      <c r="I26" s="33">
        <f t="shared" si="2"/>
        <v>0.91751397234457988</v>
      </c>
      <c r="L26" s="1"/>
      <c r="M26" s="129"/>
      <c r="N26" s="129"/>
      <c r="O26" s="129"/>
      <c r="P26" s="129"/>
      <c r="Q26" s="129"/>
      <c r="R26" s="130"/>
      <c r="S26" s="130"/>
      <c r="T26" s="130"/>
      <c r="U26" s="130"/>
      <c r="V26" s="130"/>
      <c r="W26" s="130"/>
    </row>
    <row r="27" spans="1:23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L27" s="1"/>
      <c r="M27" s="129"/>
      <c r="N27" s="129"/>
      <c r="O27" s="129"/>
      <c r="P27" s="129"/>
      <c r="Q27" s="129"/>
      <c r="R27" s="130"/>
      <c r="S27" s="130"/>
      <c r="T27" s="130"/>
      <c r="U27" s="130"/>
      <c r="V27" s="130"/>
      <c r="W27" s="130"/>
    </row>
    <row r="28" spans="1:23" s="5" customFormat="1" x14ac:dyDescent="0.25">
      <c r="A28" s="6" t="s">
        <v>30</v>
      </c>
      <c r="B28" s="7">
        <v>1502100</v>
      </c>
      <c r="C28" s="7">
        <v>1302100</v>
      </c>
      <c r="D28" s="7">
        <v>15736.230000000001</v>
      </c>
      <c r="E28" s="7">
        <v>15736.230000000001</v>
      </c>
      <c r="F28" s="7">
        <v>0</v>
      </c>
      <c r="G28" s="7">
        <f t="shared" ref="G28" si="11">SUM(E28:F28)</f>
        <v>15736.230000000001</v>
      </c>
      <c r="H28" s="7">
        <f t="shared" ref="H28" si="12">C28-G28</f>
        <v>1286363.77</v>
      </c>
      <c r="I28" s="33">
        <f t="shared" ref="I28" si="13">IF(C28=0,"NA",H28/C28)</f>
        <v>0.98791473005145536</v>
      </c>
      <c r="K28" s="1"/>
      <c r="L28" s="1"/>
      <c r="M28" s="129"/>
      <c r="N28" s="129"/>
      <c r="O28" s="129"/>
      <c r="P28" s="129"/>
      <c r="Q28" s="129"/>
      <c r="R28" s="130"/>
      <c r="S28" s="130"/>
      <c r="T28" s="130"/>
      <c r="U28" s="130"/>
      <c r="V28" s="130"/>
      <c r="W28" s="130"/>
    </row>
    <row r="29" spans="1:23" s="5" customFormat="1" x14ac:dyDescent="0.25">
      <c r="A29" s="6" t="s">
        <v>25</v>
      </c>
      <c r="B29" s="7">
        <v>26854843</v>
      </c>
      <c r="C29" s="7">
        <v>26854843</v>
      </c>
      <c r="D29" s="7">
        <v>0</v>
      </c>
      <c r="E29" s="7">
        <v>21000000</v>
      </c>
      <c r="F29" s="7">
        <v>0</v>
      </c>
      <c r="G29" s="7">
        <f t="shared" si="0"/>
        <v>21000000</v>
      </c>
      <c r="H29" s="7">
        <f t="shared" si="7"/>
        <v>5854843</v>
      </c>
      <c r="I29" s="33">
        <f t="shared" si="2"/>
        <v>0.21801814294725164</v>
      </c>
      <c r="K29" s="1"/>
      <c r="L29" s="129"/>
      <c r="M29" s="1"/>
      <c r="N29" s="1"/>
      <c r="O29" s="1"/>
      <c r="P29" s="1"/>
      <c r="Q29" s="1"/>
      <c r="R29" s="1"/>
      <c r="S29" s="130"/>
      <c r="T29" s="130"/>
      <c r="U29" s="130"/>
      <c r="V29" s="130"/>
      <c r="W29" s="130"/>
    </row>
    <row r="30" spans="1:23" s="5" customFormat="1" x14ac:dyDescent="0.25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0"/>
        <v>0</v>
      </c>
      <c r="H30" s="7">
        <f t="shared" si="7"/>
        <v>0</v>
      </c>
      <c r="I30" s="33" t="str">
        <f t="shared" si="2"/>
        <v>NA</v>
      </c>
      <c r="K30" s="1"/>
      <c r="L30" s="129"/>
      <c r="M30" s="1"/>
      <c r="N30" s="1"/>
      <c r="O30" s="1"/>
      <c r="P30" s="1"/>
      <c r="Q30" s="1"/>
      <c r="R30" s="1"/>
      <c r="S30" s="1"/>
      <c r="T30" s="130"/>
      <c r="V30" s="130"/>
      <c r="W30" s="130"/>
    </row>
    <row r="31" spans="1:23" s="5" customFormat="1" ht="24.95" customHeight="1" x14ac:dyDescent="0.25">
      <c r="A31" s="10" t="s">
        <v>26</v>
      </c>
      <c r="B31" s="11">
        <f t="shared" ref="B31:H31" si="14">SUM(B14:B30)</f>
        <v>1603129614.9999845</v>
      </c>
      <c r="C31" s="11">
        <f t="shared" si="14"/>
        <v>1606225147.3699849</v>
      </c>
      <c r="D31" s="11">
        <f t="shared" si="14"/>
        <v>52628915.729999982</v>
      </c>
      <c r="E31" s="11">
        <f t="shared" si="14"/>
        <v>111406398.44000001</v>
      </c>
      <c r="F31" s="11">
        <f t="shared" si="14"/>
        <v>70702228.359999999</v>
      </c>
      <c r="G31" s="11">
        <f t="shared" si="14"/>
        <v>182108626.80000001</v>
      </c>
      <c r="H31" s="11">
        <f t="shared" si="14"/>
        <v>1424116520.5699852</v>
      </c>
      <c r="I31" s="34">
        <f>IF(C31=0,"NA",H31/C31)</f>
        <v>0.8866232252071371</v>
      </c>
      <c r="L31" s="129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12"/>
      <c r="B32" s="13"/>
      <c r="C32" s="13"/>
      <c r="D32" s="13"/>
      <c r="E32" s="13"/>
      <c r="F32" s="13"/>
      <c r="G32" s="13"/>
      <c r="H32" s="13"/>
      <c r="I32" s="15"/>
      <c r="K32" s="1"/>
      <c r="L32" s="129"/>
      <c r="M32" s="1"/>
      <c r="N32" s="1"/>
      <c r="O32" s="1"/>
      <c r="P32" s="1"/>
      <c r="Q32" s="1"/>
      <c r="R32" s="1"/>
      <c r="S32" s="1"/>
      <c r="T32" s="1"/>
    </row>
    <row r="33" spans="1:21" s="5" customFormat="1" ht="24.95" customHeight="1" x14ac:dyDescent="0.25">
      <c r="A33" s="6" t="s">
        <v>27</v>
      </c>
      <c r="B33" s="7">
        <f>B13-B31</f>
        <v>-64621060.999984503</v>
      </c>
      <c r="C33" s="7">
        <f>C13-C31</f>
        <v>-66835119.529984713</v>
      </c>
      <c r="D33" s="7">
        <f>D13-D31</f>
        <v>-25150357.069999985</v>
      </c>
      <c r="E33" s="7">
        <f>E13-E31</f>
        <v>-74083591.920000017</v>
      </c>
      <c r="F33" s="7"/>
      <c r="G33" s="7">
        <f>G13-G31</f>
        <v>-144785820.28000003</v>
      </c>
      <c r="H33" s="7"/>
      <c r="I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8"/>
      <c r="B34" s="9"/>
      <c r="C34" s="9"/>
      <c r="D34" s="9"/>
      <c r="E34" s="9"/>
      <c r="F34" s="9"/>
      <c r="G34" s="9"/>
      <c r="H34" s="9"/>
      <c r="I34" s="1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36" t="s">
        <v>67</v>
      </c>
      <c r="B35" s="20"/>
      <c r="C35" s="20"/>
      <c r="D35" s="20"/>
      <c r="E35" s="20">
        <v>465505949.0699985</v>
      </c>
      <c r="F35" s="20"/>
      <c r="G35" s="20">
        <f>E35</f>
        <v>465505949.0699985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x14ac:dyDescent="0.25">
      <c r="A36" s="136" t="s">
        <v>68</v>
      </c>
      <c r="B36" s="20"/>
      <c r="C36" s="20"/>
      <c r="D36" s="20"/>
      <c r="E36" s="20">
        <v>45000000</v>
      </c>
      <c r="F36" s="20"/>
      <c r="G36" s="20">
        <f>E36</f>
        <v>45000000</v>
      </c>
      <c r="H36" s="20"/>
      <c r="I36" s="2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4.75" customHeight="1" x14ac:dyDescent="0.25">
      <c r="A37" s="18" t="s">
        <v>69</v>
      </c>
      <c r="B37" s="20"/>
      <c r="C37" s="20"/>
      <c r="D37" s="20"/>
      <c r="E37" s="20">
        <f>E35-E36</f>
        <v>420505949.0699985</v>
      </c>
      <c r="F37" s="20"/>
      <c r="G37" s="20">
        <f>E37</f>
        <v>420505949.0699985</v>
      </c>
      <c r="H37" s="20"/>
      <c r="I37" s="21"/>
      <c r="K37" s="1"/>
      <c r="L37" s="1"/>
      <c r="M37" s="129"/>
      <c r="N37" s="129"/>
      <c r="O37" s="129"/>
      <c r="P37" s="129"/>
      <c r="Q37" s="129"/>
      <c r="R37" s="1"/>
      <c r="S37" s="1"/>
      <c r="T37" s="1"/>
      <c r="U37" s="1"/>
    </row>
    <row r="38" spans="1:21" s="5" customFormat="1" ht="27.75" customHeight="1" thickBot="1" x14ac:dyDescent="0.3">
      <c r="A38" s="22" t="s">
        <v>28</v>
      </c>
      <c r="B38" s="24"/>
      <c r="C38" s="24"/>
      <c r="D38" s="24"/>
      <c r="E38" s="24">
        <f>+E37+E33</f>
        <v>346422357.14999849</v>
      </c>
      <c r="F38" s="24"/>
      <c r="G38" s="24">
        <f>+G37+G33</f>
        <v>275720128.78999847</v>
      </c>
      <c r="H38" s="24"/>
      <c r="I38" s="25"/>
      <c r="K38" s="1"/>
      <c r="L38" s="1"/>
      <c r="M38" s="129"/>
      <c r="N38" s="129"/>
      <c r="O38" s="129"/>
      <c r="P38" s="129"/>
      <c r="Q38" s="129"/>
      <c r="R38" s="1"/>
      <c r="S38" s="1"/>
      <c r="T38" s="1"/>
      <c r="U38" s="1"/>
    </row>
    <row r="39" spans="1:21" x14ac:dyDescent="0.25">
      <c r="A39" s="5"/>
      <c r="B39" s="31"/>
      <c r="C39" s="31"/>
      <c r="D39" s="31"/>
      <c r="E39" s="31"/>
      <c r="F39" s="31"/>
      <c r="G39" s="31"/>
      <c r="H39" s="31"/>
      <c r="I39" s="5"/>
      <c r="J39" s="5"/>
    </row>
    <row r="40" spans="1:21" x14ac:dyDescent="0.25">
      <c r="B40" s="129"/>
      <c r="C40" s="129"/>
      <c r="D40" s="129"/>
      <c r="E40" s="129"/>
      <c r="F40" s="129"/>
      <c r="G40" s="129"/>
      <c r="H40" s="129"/>
    </row>
    <row r="41" spans="1:21" x14ac:dyDescent="0.25"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21" x14ac:dyDescent="0.25">
      <c r="B42" s="129"/>
      <c r="C42" s="129"/>
      <c r="D42" s="1"/>
      <c r="E42" s="1"/>
      <c r="F42" s="1"/>
      <c r="G42" s="1"/>
      <c r="H42" s="1"/>
    </row>
    <row r="43" spans="1:21" x14ac:dyDescent="0.25">
      <c r="B43" s="129"/>
      <c r="C43" s="129"/>
      <c r="D43" s="1"/>
      <c r="E43" s="1"/>
      <c r="F43" s="1"/>
      <c r="G43" s="1"/>
      <c r="H43" s="1"/>
    </row>
    <row r="44" spans="1:21" x14ac:dyDescent="0.25">
      <c r="B44" s="129"/>
      <c r="C44" s="129"/>
      <c r="D44" s="1"/>
      <c r="E44" s="1"/>
      <c r="F44" s="1"/>
      <c r="G44" s="1"/>
      <c r="H44" s="1"/>
    </row>
    <row r="45" spans="1:21" x14ac:dyDescent="0.25">
      <c r="B45" s="129"/>
      <c r="C45" s="129"/>
      <c r="D45" s="1"/>
      <c r="E45" s="1"/>
      <c r="F45" s="1"/>
      <c r="G45" s="1"/>
      <c r="H45" s="1"/>
    </row>
    <row r="46" spans="1:21" x14ac:dyDescent="0.25">
      <c r="B46" s="129"/>
      <c r="C46" s="129"/>
      <c r="D46" s="1"/>
      <c r="E46" s="1"/>
      <c r="F46" s="1"/>
      <c r="G46" s="1"/>
      <c r="H46" s="1"/>
    </row>
    <row r="47" spans="1:21" x14ac:dyDescent="0.25">
      <c r="B47" s="129"/>
      <c r="C47" s="129"/>
      <c r="D47" s="1"/>
      <c r="E47" s="1"/>
      <c r="F47" s="1"/>
      <c r="G47" s="1"/>
      <c r="H47" s="1"/>
    </row>
    <row r="48" spans="1:21" x14ac:dyDescent="0.25">
      <c r="B48" s="129"/>
      <c r="C48" s="129"/>
      <c r="D48" s="129"/>
      <c r="E48" s="129"/>
      <c r="F48" s="1"/>
      <c r="G48" s="1"/>
      <c r="H48" s="1"/>
    </row>
    <row r="49" spans="2:11" x14ac:dyDescent="0.25">
      <c r="B49" s="129"/>
      <c r="C49" s="129"/>
      <c r="D49" s="129"/>
      <c r="E49" s="129"/>
      <c r="F49" s="1"/>
      <c r="G49" s="1"/>
      <c r="H49" s="1"/>
    </row>
    <row r="50" spans="2:11" x14ac:dyDescent="0.25">
      <c r="B50" s="129"/>
      <c r="C50" s="129"/>
      <c r="D50" s="129"/>
      <c r="E50" s="129"/>
      <c r="F50" s="1"/>
      <c r="G50" s="1"/>
      <c r="H50" s="1"/>
    </row>
    <row r="51" spans="2:11" x14ac:dyDescent="0.25">
      <c r="B51" s="129"/>
      <c r="C51" s="129"/>
      <c r="D51" s="129"/>
      <c r="E51" s="129"/>
      <c r="F51" s="1"/>
      <c r="G51" s="1"/>
      <c r="H51" s="129"/>
      <c r="I51" s="129"/>
      <c r="J51" s="129"/>
      <c r="K51" s="129"/>
    </row>
    <row r="52" spans="2:11" x14ac:dyDescent="0.25">
      <c r="B52" s="129"/>
      <c r="C52" s="129"/>
      <c r="D52" s="129"/>
      <c r="E52" s="129"/>
      <c r="F52" s="129"/>
      <c r="G52" s="129"/>
      <c r="H52" s="1"/>
      <c r="I52" s="129"/>
      <c r="J52" s="129"/>
      <c r="K52" s="129"/>
    </row>
    <row r="53" spans="2:11" x14ac:dyDescent="0.25">
      <c r="B53" s="129"/>
      <c r="C53" s="129"/>
      <c r="D53" s="129"/>
      <c r="E53" s="129"/>
      <c r="F53" s="129"/>
      <c r="G53" s="129"/>
      <c r="H53" s="1"/>
      <c r="K53" s="129"/>
    </row>
    <row r="54" spans="2:11" x14ac:dyDescent="0.25">
      <c r="B54" s="129"/>
      <c r="C54" s="129"/>
      <c r="D54" s="129"/>
      <c r="E54" s="129"/>
      <c r="F54" s="129"/>
      <c r="G54" s="129"/>
      <c r="H54" s="129"/>
      <c r="I54" s="129"/>
      <c r="J54" s="129"/>
      <c r="K54" s="129"/>
    </row>
    <row r="55" spans="2:11" x14ac:dyDescent="0.25">
      <c r="B55" s="129"/>
      <c r="C55" s="129"/>
      <c r="D55" s="129"/>
      <c r="E55" s="129"/>
      <c r="F55" s="129"/>
      <c r="G55" s="129"/>
      <c r="H55" s="129"/>
      <c r="I55" s="129"/>
      <c r="J55" s="129"/>
    </row>
    <row r="56" spans="2:11" x14ac:dyDescent="0.25">
      <c r="B56" s="129"/>
      <c r="C56" s="129"/>
      <c r="D56" s="129"/>
      <c r="E56" s="129"/>
      <c r="F56" s="129"/>
      <c r="G56" s="129"/>
      <c r="H56" s="129"/>
      <c r="I56" s="129"/>
      <c r="J56" s="129"/>
    </row>
    <row r="57" spans="2:11" x14ac:dyDescent="0.25">
      <c r="B57" s="129"/>
      <c r="C57" s="129"/>
      <c r="D57" s="129"/>
      <c r="E57" s="129"/>
      <c r="F57" s="129"/>
      <c r="G57" s="129"/>
      <c r="H57" s="129"/>
      <c r="I57" s="129"/>
      <c r="J57" s="129"/>
    </row>
    <row r="58" spans="2:11" x14ac:dyDescent="0.25">
      <c r="B58" s="129"/>
      <c r="C58" s="129"/>
      <c r="D58" s="129"/>
      <c r="E58" s="129"/>
      <c r="F58" s="129"/>
      <c r="G58" s="129"/>
      <c r="H58" s="129"/>
      <c r="I58" s="129"/>
      <c r="J58" s="129"/>
    </row>
    <row r="59" spans="2:11" x14ac:dyDescent="0.25">
      <c r="B59" s="129"/>
      <c r="C59" s="129"/>
      <c r="D59" s="129"/>
      <c r="E59" s="129"/>
      <c r="F59" s="129"/>
      <c r="G59" s="129"/>
      <c r="H59" s="129"/>
      <c r="I59" s="129"/>
      <c r="J59" s="129"/>
    </row>
    <row r="60" spans="2:11" x14ac:dyDescent="0.25">
      <c r="B60" s="129"/>
      <c r="C60" s="129"/>
      <c r="D60" s="129"/>
      <c r="E60" s="129"/>
      <c r="F60" s="129"/>
      <c r="G60" s="129"/>
      <c r="H60" s="129"/>
      <c r="I60" s="129"/>
      <c r="J60" s="129"/>
    </row>
    <row r="61" spans="2:11" x14ac:dyDescent="0.25">
      <c r="B61" s="129"/>
      <c r="C61" s="129"/>
      <c r="D61" s="129"/>
      <c r="E61" s="129"/>
      <c r="F61" s="129"/>
      <c r="G61" s="129"/>
      <c r="H61" s="129"/>
      <c r="I61" s="129"/>
      <c r="J61" s="129"/>
    </row>
    <row r="62" spans="2:11" x14ac:dyDescent="0.25">
      <c r="B62" s="129"/>
      <c r="C62" s="129"/>
      <c r="D62" s="129"/>
      <c r="E62" s="129"/>
      <c r="F62" s="129"/>
      <c r="G62" s="129"/>
      <c r="H62" s="129"/>
      <c r="I62" s="129"/>
      <c r="J62" s="129"/>
    </row>
    <row r="63" spans="2:11" x14ac:dyDescent="0.25">
      <c r="B63" s="129"/>
      <c r="C63" s="129"/>
      <c r="D63" s="129"/>
      <c r="E63" s="129"/>
      <c r="F63" s="129"/>
      <c r="G63" s="129"/>
      <c r="H63" s="129"/>
      <c r="I63" s="129"/>
      <c r="J63" s="129"/>
    </row>
    <row r="64" spans="2:11" x14ac:dyDescent="0.25">
      <c r="B64" s="129"/>
      <c r="C64" s="129"/>
      <c r="D64" s="129"/>
      <c r="E64" s="129"/>
      <c r="F64" s="129"/>
      <c r="G64" s="129"/>
      <c r="H64" s="129"/>
      <c r="I64" s="129"/>
      <c r="J64" s="129"/>
    </row>
    <row r="65" spans="2:10" x14ac:dyDescent="0.25">
      <c r="B65" s="129"/>
      <c r="C65" s="129"/>
      <c r="D65" s="129"/>
      <c r="E65" s="129"/>
      <c r="F65" s="129"/>
      <c r="G65" s="129"/>
      <c r="H65" s="129"/>
      <c r="I65" s="129"/>
      <c r="J65" s="129"/>
    </row>
    <row r="66" spans="2:10" x14ac:dyDescent="0.25">
      <c r="B66" s="129"/>
      <c r="C66" s="129"/>
      <c r="D66" s="129"/>
      <c r="E66" s="129"/>
      <c r="F66" s="129"/>
      <c r="G66" s="129"/>
      <c r="H66" s="129"/>
      <c r="I66" s="129"/>
      <c r="J66" s="129"/>
    </row>
    <row r="67" spans="2:10" x14ac:dyDescent="0.25">
      <c r="B67" s="129"/>
      <c r="C67" s="129"/>
      <c r="D67" s="129"/>
      <c r="E67" s="129"/>
      <c r="F67" s="129"/>
      <c r="G67" s="129"/>
      <c r="H67" s="129"/>
      <c r="I67" s="129"/>
      <c r="J67" s="129"/>
    </row>
    <row r="68" spans="2:10" x14ac:dyDescent="0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2:10" x14ac:dyDescent="0.25">
      <c r="B69" s="129"/>
      <c r="C69" s="129"/>
      <c r="D69" s="129"/>
      <c r="E69" s="129"/>
      <c r="F69" s="129"/>
      <c r="G69" s="129"/>
      <c r="H69" s="129"/>
      <c r="I69" s="129"/>
      <c r="J69" s="129"/>
    </row>
    <row r="70" spans="2:10" x14ac:dyDescent="0.25">
      <c r="B70" s="129"/>
      <c r="C70" s="129"/>
      <c r="D70" s="129"/>
      <c r="E70" s="129"/>
      <c r="F70" s="129"/>
      <c r="G70" s="129"/>
      <c r="H70" s="129"/>
      <c r="I70" s="129"/>
      <c r="J70" s="129"/>
    </row>
    <row r="71" spans="2:10" x14ac:dyDescent="0.25">
      <c r="B71" s="129"/>
      <c r="C71" s="129"/>
      <c r="D71" s="129"/>
      <c r="E71" s="129"/>
      <c r="F71" s="129"/>
      <c r="G71" s="129"/>
      <c r="H71" s="129"/>
      <c r="I71" s="129"/>
      <c r="J71" s="129"/>
    </row>
    <row r="72" spans="2:10" x14ac:dyDescent="0.25">
      <c r="B72" s="129"/>
      <c r="C72" s="129"/>
      <c r="D72" s="129"/>
      <c r="E72" s="129"/>
      <c r="F72" s="129"/>
      <c r="G72" s="129"/>
      <c r="H72" s="129"/>
      <c r="I72" s="129"/>
      <c r="J72" s="129"/>
    </row>
    <row r="73" spans="2:10" x14ac:dyDescent="0.25">
      <c r="B73" s="129"/>
      <c r="C73" s="129"/>
      <c r="D73" s="129"/>
      <c r="E73" s="129"/>
      <c r="F73" s="129"/>
      <c r="G73" s="129"/>
      <c r="H73" s="129"/>
      <c r="I73" s="129"/>
      <c r="J73" s="129"/>
    </row>
    <row r="74" spans="2:10" x14ac:dyDescent="0.25">
      <c r="B74" s="129"/>
      <c r="C74" s="129"/>
      <c r="D74" s="129"/>
      <c r="E74" s="129"/>
      <c r="F74" s="129"/>
      <c r="G74" s="129"/>
      <c r="H74" s="129"/>
      <c r="I74" s="129"/>
      <c r="J74" s="129"/>
    </row>
    <row r="75" spans="2:10" x14ac:dyDescent="0.25">
      <c r="B75" s="129"/>
      <c r="C75" s="129"/>
      <c r="D75" s="129"/>
      <c r="E75" s="129"/>
      <c r="F75" s="129"/>
      <c r="G75" s="129"/>
      <c r="H75" s="129"/>
      <c r="I75" s="129"/>
      <c r="J75" s="129"/>
    </row>
    <row r="76" spans="2:10" x14ac:dyDescent="0.25">
      <c r="B76" s="129"/>
    </row>
    <row r="77" spans="2:10" x14ac:dyDescent="0.25">
      <c r="B77" s="129"/>
    </row>
    <row r="78" spans="2:10" x14ac:dyDescent="0.25">
      <c r="B78" s="129"/>
    </row>
    <row r="79" spans="2:10" x14ac:dyDescent="0.25">
      <c r="B79" s="129"/>
    </row>
    <row r="80" spans="2:10" x14ac:dyDescent="0.25">
      <c r="B80" s="1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9"/>
  <sheetViews>
    <sheetView topLeftCell="R43" workbookViewId="0">
      <selection activeCell="R57" sqref="R57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91" customWidth="1"/>
    <col min="21" max="21" width="17" style="91" bestFit="1" customWidth="1"/>
    <col min="22" max="16384" width="9.140625" style="47"/>
  </cols>
  <sheetData>
    <row r="1" spans="1:21" ht="21" thickBot="1" x14ac:dyDescent="0.25">
      <c r="A1" s="156" t="s">
        <v>75</v>
      </c>
      <c r="B1" s="157"/>
      <c r="C1" s="157"/>
      <c r="D1" s="157"/>
      <c r="E1" s="157"/>
      <c r="F1" s="157"/>
      <c r="G1" s="158"/>
      <c r="H1" s="45"/>
    </row>
    <row r="2" spans="1:21" x14ac:dyDescent="0.2">
      <c r="A2" s="48"/>
      <c r="B2" s="45"/>
      <c r="C2" s="48"/>
      <c r="D2" s="48"/>
      <c r="E2" s="48"/>
      <c r="F2" s="45"/>
      <c r="G2" s="45"/>
    </row>
    <row r="3" spans="1:21" x14ac:dyDescent="0.2">
      <c r="A3" s="159" t="s">
        <v>35</v>
      </c>
      <c r="B3" s="160"/>
      <c r="C3" s="160"/>
      <c r="D3" s="160"/>
      <c r="E3" s="160"/>
      <c r="F3" s="160"/>
      <c r="G3" s="160"/>
    </row>
    <row r="4" spans="1:21" ht="13.5" thickBot="1" x14ac:dyDescent="0.25">
      <c r="A4" s="48"/>
      <c r="B4" s="45"/>
      <c r="C4" s="48"/>
      <c r="D4" s="48"/>
      <c r="E4" s="48"/>
      <c r="F4" s="45"/>
      <c r="G4" s="45"/>
    </row>
    <row r="5" spans="1:21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21" ht="13.5" thickBot="1" x14ac:dyDescent="0.25">
      <c r="A6" s="51" t="s">
        <v>38</v>
      </c>
      <c r="B6" s="52">
        <v>1606225147.3699801</v>
      </c>
      <c r="C6" s="53">
        <f>SUM(F26:Q26)</f>
        <v>111406398.43999997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21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9" t="s">
        <v>51</v>
      </c>
    </row>
    <row r="8" spans="1:21" x14ac:dyDescent="0.2">
      <c r="B8" s="46"/>
      <c r="C8" s="144"/>
      <c r="D8" s="48"/>
      <c r="E8" s="60"/>
      <c r="P8" s="47"/>
      <c r="Q8" s="47"/>
    </row>
    <row r="9" spans="1:21" x14ac:dyDescent="0.2">
      <c r="B9" s="46"/>
      <c r="D9" s="48" t="s">
        <v>13</v>
      </c>
      <c r="E9" s="61">
        <f>SUM(F9:Q9)</f>
        <v>22460580.959999979</v>
      </c>
      <c r="F9" s="46">
        <f>8832800.71+605799.549999986</f>
        <v>9438600.2599999867</v>
      </c>
      <c r="G9" s="46">
        <v>13021980.699999994</v>
      </c>
      <c r="P9" s="47"/>
      <c r="Q9" s="91"/>
      <c r="R9" s="47" t="s">
        <v>13</v>
      </c>
      <c r="S9" s="91">
        <v>22460580.959999979</v>
      </c>
      <c r="T9" s="91">
        <f>S9-E9</f>
        <v>0</v>
      </c>
      <c r="U9" s="91">
        <v>605799.54999998596</v>
      </c>
    </row>
    <row r="10" spans="1:21" x14ac:dyDescent="0.2">
      <c r="B10" s="46"/>
      <c r="D10" s="48" t="s">
        <v>14</v>
      </c>
      <c r="E10" s="61">
        <f t="shared" ref="E10:E25" si="0">SUM(F10:Q10)</f>
        <v>3589183.660000002</v>
      </c>
      <c r="F10" s="46">
        <f>1283427.24+3111.97999999811</f>
        <v>1286539.2199999981</v>
      </c>
      <c r="G10" s="46">
        <v>2302644.4400000037</v>
      </c>
      <c r="P10" s="47"/>
      <c r="Q10" s="91"/>
      <c r="R10" s="47" t="s">
        <v>14</v>
      </c>
      <c r="S10" s="91">
        <v>3589183.6600000006</v>
      </c>
      <c r="T10" s="91">
        <f t="shared" ref="T10:T25" si="1">S10-E10</f>
        <v>0</v>
      </c>
      <c r="U10" s="91">
        <v>3111.9799999981101</v>
      </c>
    </row>
    <row r="11" spans="1:21" x14ac:dyDescent="0.2">
      <c r="B11" s="46"/>
      <c r="D11" s="48" t="s">
        <v>15</v>
      </c>
      <c r="E11" s="61">
        <f t="shared" si="0"/>
        <v>2711371.3800000004</v>
      </c>
      <c r="F11" s="46">
        <v>1000347.9699999999</v>
      </c>
      <c r="G11" s="46">
        <v>1711023.4100000004</v>
      </c>
      <c r="P11" s="47"/>
      <c r="Q11" s="91"/>
      <c r="R11" s="47" t="s">
        <v>15</v>
      </c>
      <c r="S11" s="91">
        <v>2711371.3799999994</v>
      </c>
      <c r="T11" s="91">
        <f t="shared" si="1"/>
        <v>0</v>
      </c>
      <c r="U11" s="91">
        <v>0</v>
      </c>
    </row>
    <row r="12" spans="1:21" x14ac:dyDescent="0.2">
      <c r="B12" s="46"/>
      <c r="D12" s="48" t="s">
        <v>16</v>
      </c>
      <c r="E12" s="61">
        <f t="shared" si="0"/>
        <v>28253.02</v>
      </c>
      <c r="F12" s="46">
        <v>0</v>
      </c>
      <c r="G12" s="46">
        <v>28253.02</v>
      </c>
      <c r="P12" s="47"/>
      <c r="Q12" s="91"/>
      <c r="R12" s="47" t="s">
        <v>16</v>
      </c>
      <c r="S12" s="91">
        <v>28253.02</v>
      </c>
      <c r="T12" s="91">
        <f t="shared" si="1"/>
        <v>0</v>
      </c>
      <c r="U12" s="91">
        <v>0</v>
      </c>
    </row>
    <row r="13" spans="1:21" x14ac:dyDescent="0.2">
      <c r="B13" s="46"/>
      <c r="D13" s="48" t="s">
        <v>17</v>
      </c>
      <c r="E13" s="61">
        <f t="shared" si="0"/>
        <v>564956.19999999984</v>
      </c>
      <c r="F13" s="46">
        <f>55256.13+653.070000000065</f>
        <v>55909.200000000063</v>
      </c>
      <c r="G13" s="46">
        <v>509046.99999999983</v>
      </c>
      <c r="P13" s="47"/>
      <c r="Q13" s="91"/>
      <c r="R13" s="47" t="s">
        <v>17</v>
      </c>
      <c r="S13" s="91">
        <v>564956.19999999984</v>
      </c>
      <c r="T13" s="91">
        <f t="shared" si="1"/>
        <v>0</v>
      </c>
      <c r="U13" s="91">
        <v>653.07000000006497</v>
      </c>
    </row>
    <row r="14" spans="1:21" x14ac:dyDescent="0.2">
      <c r="B14" s="46"/>
      <c r="D14" s="48" t="s">
        <v>18</v>
      </c>
      <c r="E14" s="61">
        <f t="shared" si="0"/>
        <v>3434734.8600000013</v>
      </c>
      <c r="F14" s="46">
        <v>1704486.6800000006</v>
      </c>
      <c r="G14" s="46">
        <v>1730248.1800000006</v>
      </c>
      <c r="P14" s="47"/>
      <c r="Q14" s="91"/>
      <c r="R14" s="47" t="s">
        <v>18</v>
      </c>
      <c r="S14" s="91">
        <v>3434734.86</v>
      </c>
      <c r="T14" s="91">
        <f t="shared" si="1"/>
        <v>0</v>
      </c>
      <c r="U14" s="91">
        <v>0</v>
      </c>
    </row>
    <row r="15" spans="1:21" x14ac:dyDescent="0.2">
      <c r="A15" s="62" t="s">
        <v>52</v>
      </c>
      <c r="B15" s="122">
        <f>B6-C6</f>
        <v>1494818748.92998</v>
      </c>
      <c r="C15" s="63">
        <f>B15/$B$6</f>
        <v>0.93064085777612438</v>
      </c>
      <c r="D15" s="48" t="s">
        <v>19</v>
      </c>
      <c r="E15" s="61">
        <f t="shared" si="0"/>
        <v>10414546.320000006</v>
      </c>
      <c r="F15" s="46">
        <f>3144697.83+598.250000014901</f>
        <v>3145296.080000015</v>
      </c>
      <c r="G15" s="46">
        <v>7269250.2399999909</v>
      </c>
      <c r="P15" s="47"/>
      <c r="Q15" s="91"/>
      <c r="R15" s="47" t="s">
        <v>19</v>
      </c>
      <c r="S15" s="91">
        <v>10414546.320000004</v>
      </c>
      <c r="T15" s="91">
        <f t="shared" si="1"/>
        <v>0</v>
      </c>
      <c r="U15" s="91">
        <v>598.25000001490105</v>
      </c>
    </row>
    <row r="16" spans="1:21" x14ac:dyDescent="0.2">
      <c r="A16" s="62" t="s">
        <v>53</v>
      </c>
      <c r="B16" s="122">
        <f>C6</f>
        <v>111406398.43999997</v>
      </c>
      <c r="C16" s="63">
        <f>B16/$B$6</f>
        <v>6.9359142223875583E-2</v>
      </c>
      <c r="D16" s="48" t="s">
        <v>20</v>
      </c>
      <c r="E16" s="61">
        <f t="shared" si="0"/>
        <v>2472287.3699999992</v>
      </c>
      <c r="F16" s="46">
        <f>1007407.09+48067.7599999997</f>
        <v>1055474.8499999996</v>
      </c>
      <c r="G16" s="46">
        <v>1416812.5199999998</v>
      </c>
      <c r="P16" s="47"/>
      <c r="Q16" s="91"/>
      <c r="R16" s="47" t="s">
        <v>20</v>
      </c>
      <c r="S16" s="91">
        <v>2472287.3699999992</v>
      </c>
      <c r="T16" s="91">
        <f t="shared" si="1"/>
        <v>0</v>
      </c>
      <c r="U16" s="91">
        <v>48067.759999999696</v>
      </c>
    </row>
    <row r="17" spans="1:21" x14ac:dyDescent="0.2">
      <c r="A17" s="48"/>
      <c r="B17" s="45"/>
      <c r="C17" s="48"/>
      <c r="D17" s="64" t="s">
        <v>54</v>
      </c>
      <c r="E17" s="61">
        <f t="shared" si="0"/>
        <v>32587399.329999991</v>
      </c>
      <c r="F17" s="46">
        <v>15019325.579999993</v>
      </c>
      <c r="G17" s="46">
        <v>17568073.749999996</v>
      </c>
      <c r="P17" s="47"/>
      <c r="Q17" s="91"/>
      <c r="R17" s="47" t="s">
        <v>54</v>
      </c>
      <c r="S17" s="91">
        <v>32587399.330000013</v>
      </c>
      <c r="T17" s="91">
        <f t="shared" si="1"/>
        <v>0</v>
      </c>
      <c r="U17" s="91">
        <v>0</v>
      </c>
    </row>
    <row r="18" spans="1:21" x14ac:dyDescent="0.2">
      <c r="A18" s="48"/>
      <c r="B18" s="45"/>
      <c r="C18" s="48"/>
      <c r="D18" s="64" t="s">
        <v>76</v>
      </c>
      <c r="E18" s="61">
        <f t="shared" si="0"/>
        <v>0</v>
      </c>
      <c r="F18" s="46">
        <v>0</v>
      </c>
      <c r="G18" s="46">
        <v>0</v>
      </c>
      <c r="P18" s="47"/>
      <c r="Q18" s="91"/>
      <c r="R18" s="64" t="s">
        <v>76</v>
      </c>
      <c r="S18" s="91">
        <v>0</v>
      </c>
      <c r="T18" s="91">
        <f t="shared" si="1"/>
        <v>0</v>
      </c>
      <c r="U18" s="91">
        <v>0</v>
      </c>
    </row>
    <row r="19" spans="1:21" x14ac:dyDescent="0.2">
      <c r="B19" s="65"/>
      <c r="C19" s="48"/>
      <c r="D19" s="48" t="s">
        <v>21</v>
      </c>
      <c r="E19" s="61">
        <f t="shared" si="0"/>
        <v>3918565.9700000007</v>
      </c>
      <c r="F19" s="46">
        <f>1827046.3+2789.88000000035</f>
        <v>1829836.1800000004</v>
      </c>
      <c r="G19" s="46">
        <v>2088729.79</v>
      </c>
      <c r="P19" s="47"/>
      <c r="Q19" s="91"/>
      <c r="R19" s="47" t="s">
        <v>21</v>
      </c>
      <c r="S19" s="91">
        <v>3918565.97</v>
      </c>
      <c r="T19" s="91">
        <f t="shared" si="1"/>
        <v>0</v>
      </c>
      <c r="U19" s="91">
        <v>2789.8800000003498</v>
      </c>
    </row>
    <row r="20" spans="1:21" x14ac:dyDescent="0.2">
      <c r="A20" s="48"/>
      <c r="B20" s="45"/>
      <c r="C20" s="48"/>
      <c r="D20" s="48" t="s">
        <v>22</v>
      </c>
      <c r="E20" s="61">
        <f t="shared" si="0"/>
        <v>8085656.8000000054</v>
      </c>
      <c r="F20" s="46">
        <f>3201445.58+2958.96000000182</f>
        <v>3204404.5400000019</v>
      </c>
      <c r="G20" s="46">
        <v>4881252.2600000035</v>
      </c>
      <c r="P20" s="47"/>
      <c r="Q20" s="91"/>
      <c r="R20" s="47" t="s">
        <v>22</v>
      </c>
      <c r="S20" s="91">
        <v>8085656.8000000063</v>
      </c>
      <c r="T20" s="91">
        <f t="shared" si="1"/>
        <v>0</v>
      </c>
      <c r="U20" s="91">
        <v>2958.9600000018199</v>
      </c>
    </row>
    <row r="21" spans="1:21" x14ac:dyDescent="0.2">
      <c r="A21" s="48"/>
      <c r="B21" s="45"/>
      <c r="C21" s="48"/>
      <c r="D21" s="48" t="s">
        <v>23</v>
      </c>
      <c r="E21" s="61">
        <f t="shared" si="0"/>
        <v>123126.34</v>
      </c>
      <c r="F21" s="46">
        <v>37262.15</v>
      </c>
      <c r="G21" s="46">
        <v>85864.19</v>
      </c>
      <c r="P21" s="47"/>
      <c r="Q21" s="91"/>
      <c r="R21" s="47" t="s">
        <v>23</v>
      </c>
      <c r="S21" s="91">
        <v>123126.33999999998</v>
      </c>
      <c r="T21" s="91">
        <f t="shared" si="1"/>
        <v>0</v>
      </c>
      <c r="U21" s="91">
        <v>0</v>
      </c>
    </row>
    <row r="22" spans="1:21" x14ac:dyDescent="0.2">
      <c r="A22" s="48"/>
      <c r="B22" s="45"/>
      <c r="C22" s="48"/>
      <c r="D22" s="48" t="s">
        <v>29</v>
      </c>
      <c r="E22" s="61">
        <f t="shared" si="0"/>
        <v>0</v>
      </c>
      <c r="F22" s="46">
        <v>0</v>
      </c>
      <c r="G22" s="46">
        <v>0</v>
      </c>
      <c r="P22" s="47"/>
      <c r="Q22" s="91"/>
      <c r="R22" s="47" t="s">
        <v>29</v>
      </c>
      <c r="S22" s="91">
        <v>0</v>
      </c>
      <c r="T22" s="91">
        <f t="shared" si="1"/>
        <v>0</v>
      </c>
      <c r="U22" s="91">
        <v>0</v>
      </c>
    </row>
    <row r="23" spans="1:21" x14ac:dyDescent="0.2">
      <c r="A23" s="48"/>
      <c r="B23" s="45"/>
      <c r="C23" s="48"/>
      <c r="D23" s="48" t="s">
        <v>30</v>
      </c>
      <c r="E23" s="61">
        <f t="shared" si="0"/>
        <v>15736.230000000001</v>
      </c>
      <c r="F23" s="46">
        <v>0</v>
      </c>
      <c r="G23" s="46">
        <v>15736.230000000001</v>
      </c>
      <c r="P23" s="47"/>
      <c r="Q23" s="91"/>
      <c r="R23" s="47" t="s">
        <v>30</v>
      </c>
      <c r="S23" s="91">
        <v>15736.230000000001</v>
      </c>
      <c r="T23" s="91">
        <f t="shared" si="1"/>
        <v>0</v>
      </c>
      <c r="U23" s="91">
        <v>0</v>
      </c>
    </row>
    <row r="24" spans="1:21" x14ac:dyDescent="0.2">
      <c r="A24" s="48"/>
      <c r="B24" s="45"/>
      <c r="C24" s="48"/>
      <c r="D24" s="48" t="s">
        <v>25</v>
      </c>
      <c r="E24" s="61">
        <f t="shared" si="0"/>
        <v>21000000</v>
      </c>
      <c r="F24" s="46">
        <v>21000000</v>
      </c>
      <c r="G24" s="46">
        <v>0</v>
      </c>
      <c r="P24" s="47"/>
      <c r="Q24" s="91"/>
      <c r="R24" s="47" t="s">
        <v>25</v>
      </c>
      <c r="S24" s="91">
        <v>21000000</v>
      </c>
      <c r="T24" s="91">
        <f t="shared" si="1"/>
        <v>0</v>
      </c>
      <c r="U24" s="91">
        <v>0</v>
      </c>
    </row>
    <row r="25" spans="1:21" ht="13.5" thickBot="1" x14ac:dyDescent="0.25">
      <c r="A25" s="48"/>
      <c r="B25" s="45"/>
      <c r="C25" s="48"/>
      <c r="D25" s="48" t="s">
        <v>24</v>
      </c>
      <c r="E25" s="61">
        <f t="shared" si="0"/>
        <v>0</v>
      </c>
      <c r="F25" s="46">
        <v>0</v>
      </c>
      <c r="G25" s="46">
        <v>0</v>
      </c>
      <c r="P25" s="47"/>
      <c r="Q25" s="91"/>
      <c r="R25" s="47" t="s">
        <v>24</v>
      </c>
      <c r="S25" s="91">
        <v>0</v>
      </c>
      <c r="T25" s="91">
        <f t="shared" si="1"/>
        <v>0</v>
      </c>
      <c r="U25" s="91">
        <v>0</v>
      </c>
    </row>
    <row r="26" spans="1:21" ht="13.5" thickBot="1" x14ac:dyDescent="0.25">
      <c r="A26" s="48"/>
      <c r="B26" s="45"/>
      <c r="C26" s="48"/>
      <c r="D26" s="66" t="s">
        <v>55</v>
      </c>
      <c r="E26" s="67">
        <f>SUM(E9:E25)</f>
        <v>111406398.44</v>
      </c>
      <c r="F26" s="68">
        <f t="shared" ref="F26:Q26" si="2">SUM(F9:F25)</f>
        <v>58777482.709999993</v>
      </c>
      <c r="G26" s="68">
        <f t="shared" si="2"/>
        <v>52628915.729999982</v>
      </c>
      <c r="H26" s="68">
        <f t="shared" si="2"/>
        <v>0</v>
      </c>
      <c r="I26" s="68">
        <f t="shared" si="2"/>
        <v>0</v>
      </c>
      <c r="J26" s="68">
        <f t="shared" si="2"/>
        <v>0</v>
      </c>
      <c r="K26" s="68">
        <f t="shared" si="2"/>
        <v>0</v>
      </c>
      <c r="L26" s="68">
        <f t="shared" si="2"/>
        <v>0</v>
      </c>
      <c r="M26" s="68">
        <f t="shared" si="2"/>
        <v>0</v>
      </c>
      <c r="N26" s="68">
        <f t="shared" si="2"/>
        <v>0</v>
      </c>
      <c r="O26" s="68">
        <f t="shared" si="2"/>
        <v>0</v>
      </c>
      <c r="P26" s="68">
        <f t="shared" si="2"/>
        <v>0</v>
      </c>
      <c r="Q26" s="68">
        <f t="shared" si="2"/>
        <v>0</v>
      </c>
      <c r="S26" s="119">
        <f>SUM(S9:S25)</f>
        <v>111406398.44000001</v>
      </c>
      <c r="T26" s="119">
        <f t="shared" ref="T26:U26" si="3">SUM(T9:T25)</f>
        <v>0</v>
      </c>
      <c r="U26" s="119">
        <f t="shared" si="3"/>
        <v>663979.45000000088</v>
      </c>
    </row>
    <row r="27" spans="1:21" x14ac:dyDescent="0.2">
      <c r="A27" s="48"/>
      <c r="B27" s="45"/>
      <c r="C27" s="48"/>
      <c r="D27" s="48"/>
      <c r="E27" s="48"/>
      <c r="F27" s="45"/>
      <c r="G27" s="45"/>
    </row>
    <row r="28" spans="1:21" ht="29.25" customHeight="1" x14ac:dyDescent="0.2">
      <c r="A28" s="11"/>
      <c r="B28" s="161" t="s">
        <v>82</v>
      </c>
      <c r="C28" s="161"/>
      <c r="D28" s="161"/>
      <c r="E28" s="161"/>
      <c r="F28" s="161"/>
      <c r="G28" s="69"/>
    </row>
    <row r="29" spans="1:21" x14ac:dyDescent="0.2">
      <c r="A29" s="48"/>
      <c r="B29" s="45"/>
      <c r="C29" s="48"/>
      <c r="D29" s="48"/>
      <c r="E29" s="124"/>
      <c r="F29" s="45"/>
      <c r="G29" s="45"/>
    </row>
    <row r="30" spans="1:21" ht="29.25" customHeight="1" x14ac:dyDescent="0.2">
      <c r="B30" s="161" t="str">
        <f>"GENERAL OPERATIONS" &amp; " YTD EXPENSES"&amp;CHAR(10)&amp;TEXT(C6,"$#,##0")</f>
        <v>GENERAL OPERATIONS YTD EXPENSES
$111,406,398</v>
      </c>
      <c r="C30" s="161"/>
      <c r="D30" s="161"/>
      <c r="E30" s="161"/>
      <c r="F30" s="161"/>
      <c r="G30" s="69"/>
      <c r="H30" s="123" t="s">
        <v>83</v>
      </c>
    </row>
    <row r="31" spans="1:21" x14ac:dyDescent="0.2">
      <c r="A31" s="48"/>
      <c r="B31" s="45"/>
      <c r="C31" s="48"/>
      <c r="D31" s="48"/>
      <c r="E31" s="48"/>
      <c r="F31" s="45"/>
      <c r="G31" s="45"/>
    </row>
    <row r="32" spans="1:21" x14ac:dyDescent="0.2">
      <c r="A32" s="48"/>
      <c r="B32" s="45"/>
      <c r="C32" s="48"/>
      <c r="D32" s="48"/>
      <c r="E32" s="48"/>
      <c r="F32" s="45"/>
      <c r="G32" s="45"/>
    </row>
    <row r="33" spans="1:21" x14ac:dyDescent="0.2">
      <c r="A33" s="48"/>
      <c r="B33" s="45"/>
      <c r="C33" s="48"/>
      <c r="D33" s="48"/>
      <c r="E33" s="45"/>
      <c r="F33" s="45"/>
      <c r="G33" s="45"/>
    </row>
    <row r="34" spans="1:21" x14ac:dyDescent="0.2">
      <c r="A34" s="70"/>
      <c r="B34" s="71"/>
      <c r="C34" s="70"/>
      <c r="D34" s="70"/>
      <c r="E34" s="70"/>
      <c r="F34" s="71"/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3"/>
    </row>
    <row r="35" spans="1:21" x14ac:dyDescent="0.2">
      <c r="A35" s="48"/>
      <c r="B35" s="45"/>
      <c r="C35" s="48"/>
      <c r="D35" s="48"/>
      <c r="E35" s="48"/>
      <c r="F35" s="45"/>
      <c r="G35" s="45"/>
    </row>
    <row r="36" spans="1:21" x14ac:dyDescent="0.2">
      <c r="A36" s="48"/>
      <c r="B36" s="45"/>
      <c r="C36" s="48"/>
      <c r="D36" s="48"/>
      <c r="E36" s="48"/>
      <c r="F36" s="45"/>
      <c r="G36" s="45"/>
    </row>
    <row r="37" spans="1:21" ht="13.5" thickBot="1" x14ac:dyDescent="0.25"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1" ht="13.5" thickBot="1" x14ac:dyDescent="0.25">
      <c r="A38" s="162" t="s">
        <v>56</v>
      </c>
      <c r="B38" s="163"/>
      <c r="C38" s="163"/>
      <c r="D38" s="163"/>
      <c r="E38" s="163"/>
      <c r="F38" s="164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21" ht="13.5" thickBot="1" x14ac:dyDescent="0.25">
      <c r="B39" s="46"/>
      <c r="D39" s="48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21" ht="26.25" thickBot="1" x14ac:dyDescent="0.25">
      <c r="B40" s="74" t="s">
        <v>57</v>
      </c>
      <c r="C40" s="75" t="s">
        <v>58</v>
      </c>
      <c r="D40" s="76" t="s">
        <v>59</v>
      </c>
      <c r="E40" s="77" t="s">
        <v>40</v>
      </c>
      <c r="F40" s="78" t="s">
        <v>41</v>
      </c>
      <c r="G40" s="78" t="s">
        <v>42</v>
      </c>
      <c r="H40" s="78" t="s">
        <v>43</v>
      </c>
      <c r="I40" s="78" t="s">
        <v>44</v>
      </c>
      <c r="J40" s="78" t="s">
        <v>45</v>
      </c>
      <c r="K40" s="78" t="s">
        <v>46</v>
      </c>
      <c r="L40" s="78" t="s">
        <v>47</v>
      </c>
      <c r="M40" s="78" t="s">
        <v>48</v>
      </c>
      <c r="N40" s="78" t="s">
        <v>49</v>
      </c>
      <c r="O40" s="78" t="s">
        <v>50</v>
      </c>
      <c r="P40" s="79" t="s">
        <v>51</v>
      </c>
      <c r="Q40" s="47"/>
      <c r="R40" s="80"/>
      <c r="S40" s="125"/>
      <c r="T40" s="125"/>
    </row>
    <row r="41" spans="1:21" s="80" customFormat="1" ht="14.25" x14ac:dyDescent="0.2">
      <c r="A41" s="80" t="s">
        <v>8</v>
      </c>
      <c r="B41" s="141">
        <v>970378423.84000003</v>
      </c>
      <c r="C41" s="81">
        <f>SUM(E41:P41)</f>
        <v>18226313.119999997</v>
      </c>
      <c r="D41" s="82">
        <f t="shared" ref="D41:D46" si="4">C41/B41</f>
        <v>1.8782685880292437E-2</v>
      </c>
      <c r="E41" s="126">
        <v>0</v>
      </c>
      <c r="F41" s="126">
        <v>18226313.119999997</v>
      </c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R41" s="80" t="s">
        <v>8</v>
      </c>
      <c r="S41" s="137">
        <v>18226313.119999997</v>
      </c>
      <c r="T41" s="125">
        <f>S41-C41</f>
        <v>0</v>
      </c>
      <c r="U41" s="125">
        <v>0</v>
      </c>
    </row>
    <row r="42" spans="1:21" s="80" customFormat="1" ht="14.25" x14ac:dyDescent="0.2">
      <c r="A42" s="80" t="s">
        <v>9</v>
      </c>
      <c r="B42" s="142">
        <v>15000000</v>
      </c>
      <c r="C42" s="83">
        <f>SUM(E42:P42)</f>
        <v>3743541.4000000004</v>
      </c>
      <c r="D42" s="84">
        <f t="shared" si="4"/>
        <v>0.2495694266666667</v>
      </c>
      <c r="E42" s="127">
        <v>2000986.86</v>
      </c>
      <c r="F42" s="127">
        <v>1742554.54</v>
      </c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R42" s="80" t="s">
        <v>9</v>
      </c>
      <c r="S42" s="137">
        <v>3743541.4000000004</v>
      </c>
      <c r="T42" s="125">
        <f t="shared" ref="T42:T45" si="5">S42-C42</f>
        <v>0</v>
      </c>
      <c r="U42" s="125">
        <v>0</v>
      </c>
    </row>
    <row r="43" spans="1:21" s="80" customFormat="1" ht="14.25" x14ac:dyDescent="0.2">
      <c r="A43" s="80" t="s">
        <v>10</v>
      </c>
      <c r="B43" s="142">
        <v>554011604</v>
      </c>
      <c r="C43" s="83">
        <f>SUM(E43:P43)</f>
        <v>15352952</v>
      </c>
      <c r="D43" s="84">
        <f t="shared" si="4"/>
        <v>2.7712329289045001E-2</v>
      </c>
      <c r="E43" s="127">
        <v>7843261</v>
      </c>
      <c r="F43" s="127">
        <v>7509691</v>
      </c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R43" s="80" t="s">
        <v>10</v>
      </c>
      <c r="S43" s="137">
        <v>15352952</v>
      </c>
      <c r="T43" s="125">
        <f t="shared" si="5"/>
        <v>0</v>
      </c>
      <c r="U43" s="125">
        <v>0</v>
      </c>
    </row>
    <row r="44" spans="1:21" s="80" customFormat="1" ht="14.25" x14ac:dyDescent="0.2">
      <c r="A44" s="80" t="s">
        <v>74</v>
      </c>
      <c r="B44" s="142">
        <v>0</v>
      </c>
      <c r="C44" s="83">
        <f>SUM(E44:P44)</f>
        <v>0</v>
      </c>
      <c r="D44" s="84">
        <f>IF(B44=0,0,C44/B44)</f>
        <v>0</v>
      </c>
      <c r="E44" s="127">
        <v>0</v>
      </c>
      <c r="F44" s="127">
        <v>0</v>
      </c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R44" s="80" t="s">
        <v>74</v>
      </c>
      <c r="S44" s="137">
        <v>0</v>
      </c>
      <c r="T44" s="125">
        <f t="shared" si="5"/>
        <v>0</v>
      </c>
      <c r="U44" s="125">
        <v>0</v>
      </c>
    </row>
    <row r="45" spans="1:21" s="80" customFormat="1" ht="15" thickBot="1" x14ac:dyDescent="0.25">
      <c r="A45" s="80" t="s">
        <v>11</v>
      </c>
      <c r="B45" s="143">
        <v>0</v>
      </c>
      <c r="C45" s="83">
        <f>SUM(E45:P45)</f>
        <v>0</v>
      </c>
      <c r="D45" s="84">
        <f>IF(B45=0,0,C45/B45)</f>
        <v>0</v>
      </c>
      <c r="E45" s="128">
        <v>0</v>
      </c>
      <c r="F45" s="128">
        <v>0</v>
      </c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R45" s="80" t="s">
        <v>11</v>
      </c>
      <c r="S45" s="137">
        <v>0</v>
      </c>
      <c r="T45" s="125">
        <f t="shared" si="5"/>
        <v>0</v>
      </c>
      <c r="U45" s="125">
        <v>0</v>
      </c>
    </row>
    <row r="46" spans="1:21" s="85" customFormat="1" ht="12.75" customHeight="1" thickBot="1" x14ac:dyDescent="0.25">
      <c r="B46" s="86">
        <f>SUM(B41:B45)</f>
        <v>1539390027.8400002</v>
      </c>
      <c r="C46" s="87">
        <f>SUM(C41:C45)</f>
        <v>37322806.519999996</v>
      </c>
      <c r="D46" s="88">
        <f t="shared" si="4"/>
        <v>2.4245191825992017E-2</v>
      </c>
      <c r="E46" s="89">
        <f>SUM(E41:E45)</f>
        <v>9844247.8599999994</v>
      </c>
      <c r="F46" s="90">
        <f t="shared" ref="F46:P46" si="6">SUM(F41:F45)</f>
        <v>27478558.659999996</v>
      </c>
      <c r="G46" s="90">
        <f t="shared" si="6"/>
        <v>0</v>
      </c>
      <c r="H46" s="90">
        <f t="shared" si="6"/>
        <v>0</v>
      </c>
      <c r="I46" s="90">
        <f t="shared" si="6"/>
        <v>0</v>
      </c>
      <c r="J46" s="90">
        <f t="shared" si="6"/>
        <v>0</v>
      </c>
      <c r="K46" s="90">
        <f t="shared" si="6"/>
        <v>0</v>
      </c>
      <c r="L46" s="90">
        <f t="shared" si="6"/>
        <v>0</v>
      </c>
      <c r="M46" s="90">
        <f t="shared" si="6"/>
        <v>0</v>
      </c>
      <c r="N46" s="90">
        <f t="shared" si="6"/>
        <v>0</v>
      </c>
      <c r="O46" s="90">
        <f t="shared" si="6"/>
        <v>0</v>
      </c>
      <c r="P46" s="90">
        <f t="shared" si="6"/>
        <v>0</v>
      </c>
      <c r="Q46" s="47"/>
      <c r="R46" s="46"/>
      <c r="S46" s="91"/>
      <c r="T46" s="91"/>
      <c r="U46" s="139"/>
    </row>
    <row r="47" spans="1:21" ht="13.5" thickBot="1" x14ac:dyDescent="0.25">
      <c r="B47" s="46"/>
      <c r="C47" s="91"/>
      <c r="E47" s="46"/>
      <c r="L47" s="47"/>
      <c r="M47" s="47"/>
      <c r="N47" s="47"/>
      <c r="O47" s="47"/>
      <c r="P47" s="47"/>
      <c r="Q47" s="47"/>
    </row>
    <row r="48" spans="1:21" s="85" customFormat="1" ht="12.75" customHeight="1" x14ac:dyDescent="0.2">
      <c r="A48" s="92" t="s">
        <v>60</v>
      </c>
      <c r="B48" s="93">
        <f>+B41+B42+B45+B44</f>
        <v>985378423.84000003</v>
      </c>
      <c r="C48" s="81">
        <f>+C41+C42+C44+C45</f>
        <v>21969854.519999996</v>
      </c>
      <c r="D48" s="94">
        <f>C48/B48</f>
        <v>2.2295855062853833E-2</v>
      </c>
      <c r="E48" s="95">
        <f>+E41+E42+E44+E45</f>
        <v>2000986.86</v>
      </c>
      <c r="F48" s="95">
        <f t="shared" ref="F48:P48" si="7">+F41+F42+F44+F45</f>
        <v>19968867.659999996</v>
      </c>
      <c r="G48" s="95">
        <f t="shared" si="7"/>
        <v>0</v>
      </c>
      <c r="H48" s="95">
        <f t="shared" si="7"/>
        <v>0</v>
      </c>
      <c r="I48" s="95">
        <f t="shared" si="7"/>
        <v>0</v>
      </c>
      <c r="J48" s="95">
        <f t="shared" si="7"/>
        <v>0</v>
      </c>
      <c r="K48" s="95">
        <f t="shared" si="7"/>
        <v>0</v>
      </c>
      <c r="L48" s="95">
        <f t="shared" si="7"/>
        <v>0</v>
      </c>
      <c r="M48" s="95">
        <f t="shared" si="7"/>
        <v>0</v>
      </c>
      <c r="N48" s="95">
        <f t="shared" si="7"/>
        <v>0</v>
      </c>
      <c r="O48" s="95">
        <f t="shared" si="7"/>
        <v>0</v>
      </c>
      <c r="P48" s="95">
        <f t="shared" si="7"/>
        <v>0</v>
      </c>
      <c r="Q48" s="47"/>
      <c r="R48" s="47"/>
      <c r="S48" s="91"/>
      <c r="T48" s="91"/>
      <c r="U48" s="139"/>
    </row>
    <row r="49" spans="1:21" s="85" customFormat="1" ht="12.75" customHeight="1" thickBot="1" x14ac:dyDescent="0.25">
      <c r="A49" s="92" t="s">
        <v>61</v>
      </c>
      <c r="B49" s="96">
        <f>B43</f>
        <v>554011604</v>
      </c>
      <c r="C49" s="97">
        <f>C43</f>
        <v>15352952</v>
      </c>
      <c r="D49" s="98">
        <f>C49/B49</f>
        <v>2.7712329289045001E-2</v>
      </c>
      <c r="E49" s="99">
        <f>E43</f>
        <v>7843261</v>
      </c>
      <c r="F49" s="99">
        <f t="shared" ref="F49:P49" si="8">F43</f>
        <v>7509691</v>
      </c>
      <c r="G49" s="99">
        <f t="shared" si="8"/>
        <v>0</v>
      </c>
      <c r="H49" s="99">
        <f t="shared" si="8"/>
        <v>0</v>
      </c>
      <c r="I49" s="99">
        <f t="shared" si="8"/>
        <v>0</v>
      </c>
      <c r="J49" s="99">
        <f t="shared" si="8"/>
        <v>0</v>
      </c>
      <c r="K49" s="99">
        <f t="shared" si="8"/>
        <v>0</v>
      </c>
      <c r="L49" s="99">
        <f t="shared" si="8"/>
        <v>0</v>
      </c>
      <c r="M49" s="99">
        <f t="shared" si="8"/>
        <v>0</v>
      </c>
      <c r="N49" s="99">
        <f t="shared" si="8"/>
        <v>0</v>
      </c>
      <c r="O49" s="99">
        <f t="shared" si="8"/>
        <v>0</v>
      </c>
      <c r="P49" s="99">
        <f t="shared" si="8"/>
        <v>0</v>
      </c>
      <c r="Q49" s="47"/>
      <c r="R49" s="47"/>
      <c r="S49" s="91"/>
      <c r="T49" s="91"/>
      <c r="U49" s="139"/>
    </row>
    <row r="50" spans="1:21" s="85" customFormat="1" ht="12.75" customHeight="1" thickBot="1" x14ac:dyDescent="0.25">
      <c r="B50" s="86">
        <f>SUM(B48:B49)</f>
        <v>1539390027.8400002</v>
      </c>
      <c r="C50" s="100">
        <f>SUM(C48:C49)</f>
        <v>37322806.519999996</v>
      </c>
      <c r="D50" s="101">
        <f>C50/B50</f>
        <v>2.4245191825992017E-2</v>
      </c>
      <c r="E50" s="102">
        <f>+E48+E49</f>
        <v>9844247.8599999994</v>
      </c>
      <c r="F50" s="103">
        <f t="shared" ref="F50:P50" si="9">+F48+F49</f>
        <v>27478558.659999996</v>
      </c>
      <c r="G50" s="103">
        <f t="shared" si="9"/>
        <v>0</v>
      </c>
      <c r="H50" s="103">
        <f t="shared" si="9"/>
        <v>0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 t="shared" si="9"/>
        <v>0</v>
      </c>
      <c r="N50" s="103">
        <f t="shared" si="9"/>
        <v>0</v>
      </c>
      <c r="O50" s="103">
        <f t="shared" si="9"/>
        <v>0</v>
      </c>
      <c r="P50" s="104">
        <f t="shared" si="9"/>
        <v>0</v>
      </c>
      <c r="Q50" s="47"/>
      <c r="R50" s="47"/>
      <c r="S50" s="91"/>
      <c r="T50" s="91"/>
      <c r="U50" s="139"/>
    </row>
    <row r="51" spans="1:21" s="85" customFormat="1" ht="12.75" customHeight="1" thickBot="1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91"/>
      <c r="T51" s="91"/>
      <c r="U51" s="139"/>
    </row>
    <row r="52" spans="1:21" s="85" customFormat="1" ht="12.75" customHeight="1" thickBot="1" x14ac:dyDescent="0.25">
      <c r="C52" s="154" t="s">
        <v>62</v>
      </c>
      <c r="D52" s="155"/>
      <c r="E52" s="105" t="s">
        <v>40</v>
      </c>
      <c r="F52" s="106" t="s">
        <v>41</v>
      </c>
      <c r="G52" s="106" t="s">
        <v>42</v>
      </c>
      <c r="H52" s="106" t="s">
        <v>43</v>
      </c>
      <c r="I52" s="106" t="s">
        <v>44</v>
      </c>
      <c r="J52" s="106" t="s">
        <v>45</v>
      </c>
      <c r="K52" s="106" t="s">
        <v>46</v>
      </c>
      <c r="L52" s="106" t="s">
        <v>47</v>
      </c>
      <c r="M52" s="106" t="s">
        <v>48</v>
      </c>
      <c r="N52" s="106" t="s">
        <v>49</v>
      </c>
      <c r="O52" s="106" t="s">
        <v>50</v>
      </c>
      <c r="P52" s="50" t="s">
        <v>51</v>
      </c>
      <c r="Q52" s="47"/>
      <c r="R52" s="47"/>
      <c r="S52" s="91"/>
      <c r="T52" s="91"/>
      <c r="U52" s="139"/>
    </row>
    <row r="53" spans="1:21" s="85" customFormat="1" ht="12.75" customHeight="1" x14ac:dyDescent="0.2">
      <c r="C53" s="107" t="s">
        <v>60</v>
      </c>
      <c r="D53" s="47"/>
      <c r="E53" s="46">
        <f>E48</f>
        <v>2000986.86</v>
      </c>
      <c r="F53" s="46">
        <f>E53+F48</f>
        <v>21969854.519999996</v>
      </c>
      <c r="G53" s="46">
        <f t="shared" ref="G53:P54" si="10">F53+G48</f>
        <v>21969854.519999996</v>
      </c>
      <c r="H53" s="46">
        <f t="shared" si="10"/>
        <v>21969854.519999996</v>
      </c>
      <c r="I53" s="46">
        <f t="shared" si="10"/>
        <v>21969854.519999996</v>
      </c>
      <c r="J53" s="46">
        <f t="shared" si="10"/>
        <v>21969854.519999996</v>
      </c>
      <c r="K53" s="46">
        <f t="shared" si="10"/>
        <v>21969854.519999996</v>
      </c>
      <c r="L53" s="46">
        <f t="shared" si="10"/>
        <v>21969854.519999996</v>
      </c>
      <c r="M53" s="46">
        <f t="shared" si="10"/>
        <v>21969854.519999996</v>
      </c>
      <c r="N53" s="46">
        <f t="shared" si="10"/>
        <v>21969854.519999996</v>
      </c>
      <c r="O53" s="46">
        <f t="shared" si="10"/>
        <v>21969854.519999996</v>
      </c>
      <c r="P53" s="46">
        <f t="shared" si="10"/>
        <v>21969854.519999996</v>
      </c>
      <c r="Q53" s="47"/>
      <c r="R53" s="47"/>
      <c r="S53" s="91"/>
      <c r="T53" s="91"/>
      <c r="U53" s="139"/>
    </row>
    <row r="54" spans="1:21" s="85" customFormat="1" ht="12.75" customHeight="1" thickBot="1" x14ac:dyDescent="0.25">
      <c r="C54" s="107" t="s">
        <v>61</v>
      </c>
      <c r="D54" s="47"/>
      <c r="E54" s="46">
        <f>E49</f>
        <v>7843261</v>
      </c>
      <c r="F54" s="46">
        <f>E54+F49</f>
        <v>15352952</v>
      </c>
      <c r="G54" s="46">
        <f t="shared" si="10"/>
        <v>15352952</v>
      </c>
      <c r="H54" s="46">
        <f t="shared" si="10"/>
        <v>15352952</v>
      </c>
      <c r="I54" s="46">
        <f t="shared" si="10"/>
        <v>15352952</v>
      </c>
      <c r="J54" s="46">
        <f t="shared" si="10"/>
        <v>15352952</v>
      </c>
      <c r="K54" s="46">
        <f t="shared" si="10"/>
        <v>15352952</v>
      </c>
      <c r="L54" s="46">
        <f t="shared" si="10"/>
        <v>15352952</v>
      </c>
      <c r="M54" s="46">
        <f t="shared" si="10"/>
        <v>15352952</v>
      </c>
      <c r="N54" s="46">
        <f t="shared" si="10"/>
        <v>15352952</v>
      </c>
      <c r="O54" s="46">
        <f t="shared" si="10"/>
        <v>15352952</v>
      </c>
      <c r="P54" s="46">
        <f t="shared" si="10"/>
        <v>15352952</v>
      </c>
      <c r="Q54" s="47"/>
      <c r="R54" s="47"/>
      <c r="S54" s="91"/>
      <c r="T54" s="91"/>
      <c r="U54" s="139"/>
    </row>
    <row r="55" spans="1:21" s="85" customFormat="1" ht="12.75" customHeight="1" thickBot="1" x14ac:dyDescent="0.25">
      <c r="C55" s="108" t="s">
        <v>63</v>
      </c>
      <c r="D55" s="47"/>
      <c r="E55" s="109">
        <f>+E53+E54</f>
        <v>9844247.8599999994</v>
      </c>
      <c r="F55" s="109">
        <f t="shared" ref="F55:P55" si="11">+F53+F54</f>
        <v>37322806.519999996</v>
      </c>
      <c r="G55" s="109">
        <f t="shared" si="11"/>
        <v>37322806.519999996</v>
      </c>
      <c r="H55" s="109">
        <f t="shared" si="11"/>
        <v>37322806.519999996</v>
      </c>
      <c r="I55" s="109">
        <f t="shared" si="11"/>
        <v>37322806.519999996</v>
      </c>
      <c r="J55" s="109">
        <f t="shared" si="11"/>
        <v>37322806.519999996</v>
      </c>
      <c r="K55" s="109">
        <f t="shared" si="11"/>
        <v>37322806.519999996</v>
      </c>
      <c r="L55" s="109">
        <f t="shared" si="11"/>
        <v>37322806.519999996</v>
      </c>
      <c r="M55" s="109">
        <f t="shared" si="11"/>
        <v>37322806.519999996</v>
      </c>
      <c r="N55" s="109">
        <f t="shared" si="11"/>
        <v>37322806.519999996</v>
      </c>
      <c r="O55" s="109">
        <f t="shared" si="11"/>
        <v>37322806.519999996</v>
      </c>
      <c r="P55" s="109">
        <f t="shared" si="11"/>
        <v>37322806.519999996</v>
      </c>
      <c r="Q55" s="47"/>
      <c r="R55" s="47"/>
      <c r="S55" s="91"/>
      <c r="T55" s="91"/>
      <c r="U55" s="139"/>
    </row>
    <row r="56" spans="1:21" s="85" customFormat="1" ht="12.75" customHeight="1" x14ac:dyDescent="0.2">
      <c r="C56" s="110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91"/>
      <c r="T56" s="91"/>
      <c r="U56" s="139"/>
    </row>
    <row r="57" spans="1:21" ht="38.25" x14ac:dyDescent="0.2">
      <c r="A57" s="91"/>
      <c r="B57" s="134" t="str">
        <f>"(LOCAL &amp; OTHER)" &amp; "  " &amp; "Budgeted: " &amp; TEXT(B48,"$#,##0")  &amp; "  " &amp; "Actual: " &amp; TEXT(C48,"$#,##0") &amp; "  " &amp; TEXT(D48,"###.00%") &amp; CHAR(10) &amp; "(STATE)" &amp; "  " &amp; "Budgeted: " &amp; TEXT(B49,"$#,##0") &amp; "  " &amp; "Actual: " &amp; TEXT(C49,"$#,##0") &amp; "   " &amp; TEXT(D49,"###.00%") &amp; CHAR(10) &amp; "TOTAL Budgeted: " &amp; TEXT(B50,"$#,##0") &amp; "  " &amp; "Actual: " &amp; TEXT(C50,"$#,##0") &amp; "   " &amp; TEXT(D50,"###.00%")</f>
        <v>(LOCAL &amp; OTHER)  Budgeted: $985,378,424  Actual: $21,969,855  2.23%
(STATE)  Budgeted: $554,011,604  Actual: $15,352,952   2.77%
TOTAL Budgeted: $1,539,390,028  Actual: $37,322,807   2.42%</v>
      </c>
      <c r="C57" s="134"/>
      <c r="D57" s="134"/>
      <c r="E57" s="134"/>
      <c r="F57" s="134"/>
      <c r="G57" s="134"/>
      <c r="H57" s="134"/>
      <c r="I57" s="134"/>
      <c r="J57" s="134"/>
      <c r="K57" s="134"/>
      <c r="Q57" s="47"/>
      <c r="R57" s="135" t="s">
        <v>84</v>
      </c>
      <c r="T57" s="133"/>
      <c r="U57" s="133"/>
    </row>
    <row r="58" spans="1:21" x14ac:dyDescent="0.2">
      <c r="B58" s="153" t="str">
        <f>"(STATE)" &amp; CHAR(9) &amp; "Budgeted: " &amp; TEXT(B49,"$#,##0") &amp; CHAR(9) &amp; "Actual: " &amp; TEXT(C49,"$#,##0") &amp; "   " &amp; TEXT(D49,"###.00%")</f>
        <v>(STATE)	Budgeted: $554,011,604	Actual: $15,352,952   2.77%</v>
      </c>
      <c r="C58" s="153"/>
      <c r="D58" s="153"/>
      <c r="E58" s="153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123"/>
    </row>
    <row r="59" spans="1:21" x14ac:dyDescent="0.2">
      <c r="B59" s="153" t="str">
        <f>"TOTAL Budgeted: " &amp; TEXT(B50,"$#,##0") &amp; CHAR(9) &amp; "Actual: " &amp; TEXT(C50,"$#,##0") &amp; "   " &amp; TEXT(D50,"###.00%")</f>
        <v>TOTAL Budgeted: $1,539,390,028	Actual: $37,322,807   2.42%</v>
      </c>
      <c r="C59" s="153"/>
      <c r="D59" s="153"/>
      <c r="E59" s="153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21" x14ac:dyDescent="0.2">
      <c r="B60" s="111"/>
      <c r="C60" s="112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6"/>
    </row>
    <row r="61" spans="1:21" ht="13.5" thickBot="1" x14ac:dyDescent="0.25">
      <c r="B61" s="46"/>
      <c r="C61" s="91"/>
      <c r="E61" s="46"/>
      <c r="L61" s="47"/>
      <c r="M61" s="47"/>
      <c r="N61" s="47"/>
      <c r="O61" s="47"/>
      <c r="P61" s="47"/>
      <c r="Q61" s="47"/>
    </row>
    <row r="62" spans="1:21" s="91" customFormat="1" ht="26.25" thickBot="1" x14ac:dyDescent="0.25">
      <c r="A62" s="113" t="s">
        <v>32</v>
      </c>
      <c r="B62" s="114" t="s">
        <v>33</v>
      </c>
      <c r="P62" s="47"/>
      <c r="Q62" s="47"/>
      <c r="R62" s="47"/>
    </row>
    <row r="63" spans="1:21" s="91" customFormat="1" x14ac:dyDescent="0.2">
      <c r="A63" s="115" t="s">
        <v>8</v>
      </c>
      <c r="B63" s="116">
        <v>970378423.84000003</v>
      </c>
      <c r="C63" s="46"/>
      <c r="N63" s="117"/>
      <c r="O63" s="47"/>
      <c r="P63" s="47"/>
      <c r="Q63" s="47"/>
      <c r="R63" s="47"/>
    </row>
    <row r="64" spans="1:21" x14ac:dyDescent="0.2">
      <c r="A64" s="115" t="s">
        <v>9</v>
      </c>
      <c r="B64" s="116">
        <v>15000000</v>
      </c>
      <c r="C64" s="46"/>
      <c r="E64" s="46"/>
      <c r="G64" s="91"/>
      <c r="I64" s="91"/>
      <c r="J64" s="91"/>
      <c r="K64" s="91"/>
      <c r="L64" s="91"/>
      <c r="M64" s="47"/>
      <c r="N64" s="117"/>
      <c r="O64" s="118"/>
      <c r="P64" s="47"/>
      <c r="Q64" s="47"/>
    </row>
    <row r="65" spans="1:20" x14ac:dyDescent="0.2">
      <c r="A65" s="115" t="s">
        <v>10</v>
      </c>
      <c r="B65" s="116">
        <v>554011604</v>
      </c>
      <c r="C65" s="46"/>
      <c r="E65" s="46"/>
      <c r="G65" s="91"/>
      <c r="I65" s="91"/>
      <c r="J65" s="91"/>
      <c r="K65" s="91"/>
      <c r="L65" s="91"/>
      <c r="M65" s="47"/>
      <c r="N65" s="117"/>
      <c r="O65" s="118"/>
      <c r="P65" s="47"/>
      <c r="Q65" s="47"/>
    </row>
    <row r="66" spans="1:20" x14ac:dyDescent="0.2">
      <c r="A66" s="115" t="s">
        <v>74</v>
      </c>
      <c r="B66" s="46">
        <v>0</v>
      </c>
      <c r="E66" s="46"/>
      <c r="G66" s="91"/>
      <c r="I66" s="91"/>
      <c r="J66" s="91"/>
      <c r="K66" s="91"/>
      <c r="L66" s="91"/>
      <c r="M66" s="47"/>
      <c r="N66" s="117"/>
      <c r="O66" s="118"/>
      <c r="P66" s="47"/>
      <c r="Q66" s="47"/>
    </row>
    <row r="67" spans="1:20" ht="13.5" thickBot="1" x14ac:dyDescent="0.25">
      <c r="A67" s="115" t="s">
        <v>11</v>
      </c>
      <c r="B67" s="116">
        <v>0</v>
      </c>
      <c r="C67" s="46"/>
      <c r="D67" s="91"/>
      <c r="E67" s="46"/>
      <c r="G67" s="91"/>
      <c r="H67" s="46" t="str">
        <f xml:space="preserve"> CHAR(9)</f>
        <v xml:space="preserve">	</v>
      </c>
      <c r="I67" s="91"/>
      <c r="J67" s="91"/>
      <c r="K67" s="91"/>
      <c r="L67" s="91"/>
      <c r="M67" s="91"/>
      <c r="N67" s="47"/>
      <c r="O67" s="117"/>
      <c r="P67" s="118"/>
      <c r="Q67" s="47"/>
    </row>
    <row r="68" spans="1:20" ht="13.5" thickBot="1" x14ac:dyDescent="0.25">
      <c r="A68" s="119" t="s">
        <v>64</v>
      </c>
      <c r="B68" s="120">
        <f>SUM(B63:B67)</f>
        <v>1539390027.8400002</v>
      </c>
      <c r="C68" s="91"/>
      <c r="D68" s="91"/>
      <c r="E68" s="46"/>
      <c r="G68" s="91"/>
      <c r="I68" s="91"/>
      <c r="J68" s="91"/>
      <c r="K68" s="91"/>
      <c r="L68" s="91"/>
      <c r="M68" s="47"/>
      <c r="N68" s="117"/>
      <c r="O68" s="118"/>
      <c r="P68" s="47"/>
      <c r="Q68" s="47"/>
    </row>
    <row r="69" spans="1:20" ht="13.5" thickBot="1" x14ac:dyDescent="0.25">
      <c r="C69" s="46"/>
      <c r="D69" s="91"/>
      <c r="E69" s="46"/>
      <c r="I69" s="91"/>
      <c r="J69" s="91"/>
      <c r="K69" s="91"/>
      <c r="L69" s="91"/>
      <c r="M69" s="91"/>
      <c r="N69" s="47"/>
      <c r="O69" s="117"/>
      <c r="P69" s="118"/>
      <c r="Q69" s="47"/>
    </row>
    <row r="70" spans="1:20" ht="26.25" thickBot="1" x14ac:dyDescent="0.25">
      <c r="B70" s="108" t="s">
        <v>66</v>
      </c>
      <c r="C70" s="121" t="s">
        <v>65</v>
      </c>
      <c r="D70" s="91"/>
      <c r="E70" s="46"/>
      <c r="G70" s="91"/>
      <c r="H70" s="91"/>
      <c r="I70" s="91"/>
      <c r="J70" s="91"/>
      <c r="K70" s="91"/>
      <c r="L70" s="91"/>
      <c r="M70" s="47"/>
      <c r="N70" s="117"/>
      <c r="O70" s="118"/>
      <c r="P70" s="47"/>
      <c r="Q70" s="47"/>
    </row>
    <row r="71" spans="1:20" x14ac:dyDescent="0.2">
      <c r="A71" s="91" t="s">
        <v>8</v>
      </c>
      <c r="B71" s="46">
        <v>970378423.84000003</v>
      </c>
      <c r="C71" s="46">
        <v>18226313.119999997</v>
      </c>
      <c r="D71" s="91"/>
      <c r="E71" s="46"/>
      <c r="G71" s="91"/>
      <c r="H71" s="91"/>
      <c r="I71" s="91"/>
      <c r="J71" s="91"/>
      <c r="K71" s="91"/>
      <c r="L71" s="91"/>
      <c r="M71" s="47"/>
      <c r="N71" s="117"/>
      <c r="O71" s="118"/>
      <c r="P71" s="47"/>
      <c r="Q71" s="47"/>
    </row>
    <row r="72" spans="1:20" x14ac:dyDescent="0.2">
      <c r="A72" s="91" t="s">
        <v>9</v>
      </c>
      <c r="B72" s="46">
        <v>15000000</v>
      </c>
      <c r="C72" s="46">
        <v>3743541.4000000004</v>
      </c>
      <c r="D72" s="91"/>
      <c r="E72" s="46"/>
      <c r="G72" s="91"/>
      <c r="H72" s="91"/>
      <c r="I72" s="91"/>
      <c r="J72" s="91"/>
      <c r="K72" s="91"/>
      <c r="L72" s="91"/>
      <c r="M72" s="47"/>
      <c r="N72" s="117"/>
      <c r="O72" s="118"/>
      <c r="P72" s="47"/>
      <c r="Q72" s="47"/>
    </row>
    <row r="73" spans="1:20" x14ac:dyDescent="0.2">
      <c r="A73" s="91" t="s">
        <v>10</v>
      </c>
      <c r="B73" s="46">
        <v>554011604</v>
      </c>
      <c r="C73" s="46">
        <v>15352952</v>
      </c>
      <c r="D73" s="91"/>
      <c r="E73" s="46"/>
      <c r="G73" s="91"/>
      <c r="H73" s="91"/>
      <c r="I73" s="91"/>
      <c r="J73" s="91"/>
      <c r="K73" s="91"/>
      <c r="L73" s="91"/>
      <c r="M73" s="47"/>
      <c r="N73" s="117"/>
      <c r="O73" s="118"/>
      <c r="P73" s="47"/>
      <c r="Q73" s="47"/>
    </row>
    <row r="74" spans="1:20" x14ac:dyDescent="0.2">
      <c r="A74" s="80" t="s">
        <v>74</v>
      </c>
      <c r="B74" s="46">
        <v>0</v>
      </c>
      <c r="C74" s="46">
        <v>0</v>
      </c>
      <c r="D74" s="91"/>
      <c r="E74" s="46"/>
      <c r="G74" s="91"/>
      <c r="H74" s="91"/>
      <c r="I74" s="91"/>
      <c r="J74" s="91"/>
      <c r="K74" s="91"/>
      <c r="L74" s="91"/>
      <c r="M74" s="47"/>
      <c r="N74" s="117"/>
      <c r="O74" s="118"/>
      <c r="P74" s="47"/>
      <c r="Q74" s="47"/>
    </row>
    <row r="75" spans="1:20" x14ac:dyDescent="0.2">
      <c r="A75" s="91" t="s">
        <v>11</v>
      </c>
      <c r="B75" s="46">
        <v>0</v>
      </c>
      <c r="C75" s="46">
        <v>0</v>
      </c>
      <c r="D75" s="91"/>
      <c r="E75" s="46"/>
      <c r="H75" s="91"/>
      <c r="I75" s="91"/>
      <c r="J75" s="91"/>
      <c r="K75" s="91"/>
      <c r="L75" s="91"/>
      <c r="M75" s="47"/>
      <c r="N75" s="117"/>
      <c r="O75" s="118"/>
      <c r="P75" s="47"/>
      <c r="Q75" s="47"/>
    </row>
    <row r="76" spans="1:20" x14ac:dyDescent="0.2">
      <c r="B76" s="46"/>
      <c r="E76" s="46"/>
      <c r="H76" s="91"/>
      <c r="I76" s="91"/>
      <c r="J76" s="91"/>
      <c r="K76" s="91"/>
      <c r="L76" s="91"/>
      <c r="M76" s="47"/>
      <c r="N76" s="117"/>
      <c r="O76" s="118"/>
      <c r="P76" s="47"/>
      <c r="Q76" s="47"/>
    </row>
    <row r="77" spans="1:20" x14ac:dyDescent="0.2">
      <c r="B77" s="46"/>
      <c r="E77" s="46"/>
      <c r="P77" s="47"/>
      <c r="Q77" s="47"/>
    </row>
    <row r="78" spans="1:20" x14ac:dyDescent="0.2">
      <c r="B78" s="46"/>
      <c r="E78" s="46"/>
      <c r="P78" s="47"/>
      <c r="Q78" s="47"/>
    </row>
    <row r="79" spans="1:20" ht="12.75" customHeight="1" x14ac:dyDescent="0.2">
      <c r="C79" s="123"/>
      <c r="D79" s="123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S79" s="47"/>
      <c r="T79" s="47"/>
    </row>
    <row r="80" spans="1:20" x14ac:dyDescent="0.2">
      <c r="E80" s="46"/>
      <c r="P80" s="47"/>
      <c r="Q80" s="47"/>
    </row>
    <row r="81" spans="2:17" x14ac:dyDescent="0.2"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B83" s="46"/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P87" s="47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  <row r="99" spans="5:17" x14ac:dyDescent="0.2">
      <c r="E99" s="46"/>
      <c r="Q99" s="47"/>
    </row>
  </sheetData>
  <mergeCells count="8">
    <mergeCell ref="B58:E58"/>
    <mergeCell ref="B59:E59"/>
    <mergeCell ref="C52:D52"/>
    <mergeCell ref="A1:G1"/>
    <mergeCell ref="A3:G3"/>
    <mergeCell ref="B28:F28"/>
    <mergeCell ref="B30:F30"/>
    <mergeCell ref="A38:F3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9" bestFit="1" customWidth="1"/>
    <col min="14" max="15" width="14.140625" style="129" customWidth="1"/>
    <col min="16" max="16" width="13.7109375" style="129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2" ht="18.75" x14ac:dyDescent="0.3">
      <c r="A2" s="151" t="s">
        <v>78</v>
      </c>
      <c r="B2" s="151"/>
      <c r="C2" s="151"/>
      <c r="D2" s="151"/>
      <c r="E2" s="151"/>
      <c r="F2" s="151"/>
      <c r="G2" s="151"/>
      <c r="H2" s="151"/>
      <c r="I2" s="151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2" x14ac:dyDescent="0.25">
      <c r="A4" s="152">
        <v>45535</v>
      </c>
      <c r="B4" s="152"/>
      <c r="C4" s="152"/>
      <c r="D4" s="152"/>
      <c r="E4" s="152"/>
      <c r="F4" s="152"/>
      <c r="G4" s="152"/>
      <c r="H4" s="152"/>
      <c r="I4" s="152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0</v>
      </c>
      <c r="C8" s="7">
        <v>7772623.5199999996</v>
      </c>
      <c r="D8" s="7">
        <v>747796.31</v>
      </c>
      <c r="E8" s="7">
        <v>980071.55999999994</v>
      </c>
      <c r="F8" s="7">
        <v>0</v>
      </c>
      <c r="G8" s="7">
        <f t="shared" ref="G8:G12" si="0">SUM(E8:F8)</f>
        <v>980071.55999999994</v>
      </c>
      <c r="H8" s="7">
        <f t="shared" ref="H8:H12" si="1">C8-G8</f>
        <v>6792551.96</v>
      </c>
      <c r="I8" s="37">
        <f>IF(C8=0,"NA",H8/C8)</f>
        <v>0.87390723898074507</v>
      </c>
      <c r="K8"/>
      <c r="L8" s="138"/>
      <c r="M8" s="138"/>
      <c r="N8" s="138"/>
      <c r="O8" s="138"/>
      <c r="P8" s="138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1422.35</v>
      </c>
      <c r="E9" s="7">
        <v>2842.98</v>
      </c>
      <c r="F9" s="7">
        <v>0</v>
      </c>
      <c r="G9" s="7">
        <f t="shared" si="0"/>
        <v>2842.98</v>
      </c>
      <c r="H9" s="7">
        <f t="shared" si="1"/>
        <v>-2842.98</v>
      </c>
      <c r="I9" s="37" t="str">
        <f>IF(C9=0,"NA",H9/C9)</f>
        <v>NA</v>
      </c>
      <c r="K9"/>
      <c r="L9" s="138"/>
      <c r="M9" s="138"/>
      <c r="N9" s="138"/>
      <c r="O9" s="138"/>
      <c r="P9" s="138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6660000</v>
      </c>
      <c r="C10" s="7">
        <v>16028574.189999999</v>
      </c>
      <c r="D10" s="7">
        <v>0</v>
      </c>
      <c r="E10" s="7">
        <v>357419</v>
      </c>
      <c r="F10" s="7">
        <v>0</v>
      </c>
      <c r="G10" s="7">
        <f t="shared" si="0"/>
        <v>357419</v>
      </c>
      <c r="H10" s="7">
        <f t="shared" si="1"/>
        <v>15671155.189999999</v>
      </c>
      <c r="I10" s="37">
        <f>IF(C10=0,"NA",H10/C10)</f>
        <v>0.97770113574899331</v>
      </c>
      <c r="K10"/>
      <c r="L10" s="138"/>
      <c r="M10" s="138"/>
      <c r="N10" s="138"/>
      <c r="O10" s="138"/>
      <c r="P10" s="138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347152928</v>
      </c>
      <c r="C11" s="7">
        <v>645099685.95000005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645099685.95000005</v>
      </c>
      <c r="I11" s="37">
        <f>IF(C11=0,"NA",H11/C11)</f>
        <v>1</v>
      </c>
      <c r="K11"/>
      <c r="L11" s="138"/>
      <c r="M11" s="138"/>
      <c r="N11" s="138"/>
      <c r="O11" s="138"/>
      <c r="P11" s="138"/>
      <c r="R11" s="130"/>
      <c r="S11" s="130"/>
      <c r="T11" s="130"/>
      <c r="U11" s="130"/>
      <c r="V11" s="130"/>
    </row>
    <row r="12" spans="1:22" s="5" customFormat="1" x14ac:dyDescent="0.2">
      <c r="A12" s="8" t="s">
        <v>11</v>
      </c>
      <c r="B12" s="7">
        <v>4424000</v>
      </c>
      <c r="C12" s="7">
        <v>4676221.3600000003</v>
      </c>
      <c r="D12" s="7">
        <v>886.7</v>
      </c>
      <c r="E12" s="7">
        <v>1003651.03</v>
      </c>
      <c r="F12" s="7">
        <v>0</v>
      </c>
      <c r="G12" s="7">
        <f t="shared" si="0"/>
        <v>1003651.03</v>
      </c>
      <c r="H12" s="7">
        <f t="shared" si="1"/>
        <v>3672570.33</v>
      </c>
      <c r="I12" s="37">
        <f>IF(C12=0,"NA",H12/C12)</f>
        <v>0.78537136017872344</v>
      </c>
      <c r="K12" s="138"/>
      <c r="L12" s="138"/>
      <c r="M12" s="138"/>
      <c r="N12" s="138"/>
      <c r="O12" s="138"/>
      <c r="P12" s="138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>SUM(B8:B12)</f>
        <v>358236928</v>
      </c>
      <c r="C13" s="11">
        <f t="shared" ref="C13:H13" si="2">SUM(C8:C12)</f>
        <v>673577105.0200001</v>
      </c>
      <c r="D13" s="11">
        <f t="shared" si="2"/>
        <v>750105.36</v>
      </c>
      <c r="E13" s="11">
        <f t="shared" si="2"/>
        <v>2343984.5700000003</v>
      </c>
      <c r="F13" s="11">
        <f t="shared" si="2"/>
        <v>0</v>
      </c>
      <c r="G13" s="11">
        <f t="shared" si="2"/>
        <v>2343984.5700000003</v>
      </c>
      <c r="H13" s="11">
        <f t="shared" si="2"/>
        <v>671233120.45000005</v>
      </c>
      <c r="I13" s="34">
        <f>IF(C13=0,"",H13/C13)</f>
        <v>0.99652009465207336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72503402.350000009</v>
      </c>
      <c r="C14" s="13">
        <v>231186484.77000001</v>
      </c>
      <c r="D14" s="13">
        <v>5404172.6000000006</v>
      </c>
      <c r="E14" s="13">
        <v>8356330.4600000009</v>
      </c>
      <c r="F14" s="13">
        <v>29810560.340000004</v>
      </c>
      <c r="G14" s="13">
        <f t="shared" ref="G14:G31" si="3">SUM(E14:F14)</f>
        <v>38166890.800000004</v>
      </c>
      <c r="H14" s="13">
        <f t="shared" ref="H14:H31" si="4">C14-G14</f>
        <v>193019593.97</v>
      </c>
      <c r="I14" s="35">
        <f>IF(C14=0,"NA",H14/C14)</f>
        <v>0.83490864166228829</v>
      </c>
      <c r="L14" s="130"/>
      <c r="M14" s="130"/>
      <c r="N14" s="130"/>
      <c r="O14" s="130"/>
      <c r="P14" s="130"/>
      <c r="R14" s="130"/>
      <c r="S14" s="130"/>
      <c r="T14" s="130"/>
      <c r="U14" s="130"/>
      <c r="V14" s="130"/>
    </row>
    <row r="15" spans="1:22" s="5" customFormat="1" x14ac:dyDescent="0.2">
      <c r="A15" s="6" t="s">
        <v>14</v>
      </c>
      <c r="B15" s="7">
        <v>28626859</v>
      </c>
      <c r="C15" s="7">
        <v>34483472.860000037</v>
      </c>
      <c r="D15" s="7">
        <v>2188103.9299999992</v>
      </c>
      <c r="E15" s="7">
        <v>3122661.15</v>
      </c>
      <c r="F15" s="7">
        <v>5036565.169999999</v>
      </c>
      <c r="G15" s="7">
        <f t="shared" si="3"/>
        <v>8159226.3199999984</v>
      </c>
      <c r="H15" s="7">
        <f t="shared" si="4"/>
        <v>26324246.540000036</v>
      </c>
      <c r="I15" s="37">
        <f t="shared" ref="I15:I31" si="5">IF(C15=0,"NA",H15/C15)</f>
        <v>0.76338733766387845</v>
      </c>
      <c r="L15" s="130"/>
      <c r="M15" s="130"/>
      <c r="N15" s="130"/>
      <c r="O15" s="130"/>
      <c r="P15" s="130"/>
      <c r="R15" s="130"/>
      <c r="S15" s="130"/>
      <c r="T15" s="130"/>
      <c r="U15" s="130"/>
      <c r="V15" s="130"/>
    </row>
    <row r="16" spans="1:22" s="5" customFormat="1" x14ac:dyDescent="0.2">
      <c r="A16" s="6" t="s">
        <v>15</v>
      </c>
      <c r="B16" s="7">
        <v>26176419</v>
      </c>
      <c r="C16" s="7">
        <v>5270573.6299999794</v>
      </c>
      <c r="D16" s="7">
        <v>195671.54000000004</v>
      </c>
      <c r="E16" s="7">
        <v>406289.33000000007</v>
      </c>
      <c r="F16" s="7">
        <v>281749.77</v>
      </c>
      <c r="G16" s="7">
        <f t="shared" si="3"/>
        <v>688039.10000000009</v>
      </c>
      <c r="H16" s="7">
        <f t="shared" si="4"/>
        <v>4582534.5299999788</v>
      </c>
      <c r="I16" s="37">
        <f t="shared" si="5"/>
        <v>0.86945650543923747</v>
      </c>
      <c r="L16" s="130"/>
      <c r="M16" s="130"/>
      <c r="N16" s="130"/>
      <c r="O16" s="130"/>
      <c r="P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28684387</v>
      </c>
      <c r="C17" s="7">
        <v>72373557.709999964</v>
      </c>
      <c r="D17" s="7">
        <v>1078414.8</v>
      </c>
      <c r="E17" s="7">
        <v>2210261.5299999998</v>
      </c>
      <c r="F17" s="7">
        <v>467385.87999999989</v>
      </c>
      <c r="G17" s="7">
        <f t="shared" si="3"/>
        <v>2677647.4099999997</v>
      </c>
      <c r="H17" s="7">
        <f t="shared" si="4"/>
        <v>69695910.299999967</v>
      </c>
      <c r="I17" s="37">
        <f t="shared" si="5"/>
        <v>0.96300240730558939</v>
      </c>
      <c r="L17" s="130"/>
      <c r="M17" s="130"/>
      <c r="N17" s="130"/>
      <c r="O17" s="130"/>
      <c r="P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2874200</v>
      </c>
      <c r="C18" s="7">
        <v>3197766</v>
      </c>
      <c r="D18" s="7">
        <v>18135.990000000002</v>
      </c>
      <c r="E18" s="7">
        <v>18734.530000000002</v>
      </c>
      <c r="F18" s="7">
        <v>10465.869999999999</v>
      </c>
      <c r="G18" s="7">
        <f t="shared" si="3"/>
        <v>29200.400000000001</v>
      </c>
      <c r="H18" s="7">
        <f t="shared" si="4"/>
        <v>3168565.6</v>
      </c>
      <c r="I18" s="37">
        <f t="shared" si="5"/>
        <v>0.99086850007161253</v>
      </c>
      <c r="L18" s="130"/>
      <c r="M18" s="130"/>
      <c r="N18" s="130"/>
      <c r="O18" s="130"/>
      <c r="P18" s="130"/>
      <c r="R18" s="130"/>
      <c r="S18" s="130"/>
      <c r="T18" s="130"/>
      <c r="U18" s="130"/>
      <c r="V18" s="130"/>
    </row>
    <row r="19" spans="1:22" s="5" customFormat="1" x14ac:dyDescent="0.2">
      <c r="A19" s="6" t="s">
        <v>71</v>
      </c>
      <c r="B19" s="7">
        <v>-4405990</v>
      </c>
      <c r="C19" s="7">
        <v>5879548.0700000012</v>
      </c>
      <c r="D19" s="7">
        <v>398160.37000000005</v>
      </c>
      <c r="E19" s="7">
        <v>744196.89000000025</v>
      </c>
      <c r="F19" s="7">
        <v>60659.81</v>
      </c>
      <c r="G19" s="7">
        <f>SUM(E19:F19)</f>
        <v>804856.70000000019</v>
      </c>
      <c r="H19" s="7">
        <f>C19-G19</f>
        <v>5074691.370000001</v>
      </c>
      <c r="I19" s="37">
        <f t="shared" si="5"/>
        <v>0.86310908756631699</v>
      </c>
      <c r="L19" s="130"/>
      <c r="M19" s="130"/>
      <c r="N19" s="130"/>
      <c r="O19" s="130"/>
      <c r="P19" s="130"/>
      <c r="R19" s="130"/>
      <c r="S19" s="130"/>
      <c r="T19" s="130"/>
      <c r="U19" s="130"/>
      <c r="V19" s="130"/>
    </row>
    <row r="20" spans="1:22" s="5" customFormat="1" x14ac:dyDescent="0.2">
      <c r="A20" s="6" t="s">
        <v>18</v>
      </c>
      <c r="B20" s="7">
        <v>51300509.5</v>
      </c>
      <c r="C20" s="7">
        <v>50603360.900000028</v>
      </c>
      <c r="D20" s="7">
        <v>160703.54</v>
      </c>
      <c r="E20" s="7">
        <v>333054.85000000003</v>
      </c>
      <c r="F20" s="7">
        <v>91.930000000000064</v>
      </c>
      <c r="G20" s="7">
        <f t="shared" si="3"/>
        <v>333146.78000000003</v>
      </c>
      <c r="H20" s="7">
        <f t="shared" si="4"/>
        <v>50270214.120000027</v>
      </c>
      <c r="I20" s="37">
        <f t="shared" si="5"/>
        <v>0.99341650882323118</v>
      </c>
      <c r="L20" s="130"/>
      <c r="M20" s="130"/>
      <c r="N20" s="130"/>
      <c r="O20" s="130"/>
      <c r="P20" s="130"/>
      <c r="R20" s="130"/>
      <c r="S20" s="130"/>
      <c r="T20" s="130"/>
      <c r="U20" s="130"/>
      <c r="V20" s="130"/>
    </row>
    <row r="21" spans="1:22" s="5" customFormat="1" x14ac:dyDescent="0.2">
      <c r="A21" s="6" t="s">
        <v>19</v>
      </c>
      <c r="B21" s="7">
        <v>27692395</v>
      </c>
      <c r="C21" s="7">
        <v>6336875.3899999978</v>
      </c>
      <c r="D21" s="7">
        <v>92562.39</v>
      </c>
      <c r="E21" s="7">
        <v>128450.81999999999</v>
      </c>
      <c r="F21" s="7">
        <v>7000</v>
      </c>
      <c r="G21" s="7">
        <f t="shared" si="3"/>
        <v>135450.82</v>
      </c>
      <c r="H21" s="7">
        <f t="shared" si="4"/>
        <v>6201424.5699999975</v>
      </c>
      <c r="I21" s="37">
        <f t="shared" si="5"/>
        <v>0.97862498287188182</v>
      </c>
      <c r="L21" s="130"/>
      <c r="M21" s="130"/>
      <c r="N21" s="130"/>
      <c r="O21" s="130"/>
      <c r="P21" s="130"/>
      <c r="R21" s="130"/>
      <c r="S21" s="130"/>
      <c r="T21" s="130"/>
      <c r="U21" s="130"/>
      <c r="V21" s="130"/>
    </row>
    <row r="22" spans="1:22" s="5" customFormat="1" x14ac:dyDescent="0.2">
      <c r="A22" s="6" t="s">
        <v>20</v>
      </c>
      <c r="B22" s="7">
        <v>26102645</v>
      </c>
      <c r="C22" s="7">
        <v>1365901.35</v>
      </c>
      <c r="D22" s="7">
        <v>91409.290000000008</v>
      </c>
      <c r="E22" s="7">
        <v>96881.680000000008</v>
      </c>
      <c r="F22" s="7">
        <v>208847.54000000004</v>
      </c>
      <c r="G22" s="7">
        <f t="shared" si="3"/>
        <v>305729.22000000003</v>
      </c>
      <c r="H22" s="7">
        <f t="shared" si="4"/>
        <v>1060172.1300000001</v>
      </c>
      <c r="I22" s="37">
        <f t="shared" si="5"/>
        <v>0.77617035080900976</v>
      </c>
      <c r="L22" s="130"/>
      <c r="M22" s="130"/>
      <c r="N22" s="130"/>
      <c r="O22" s="130"/>
      <c r="P22" s="130"/>
      <c r="R22" s="130"/>
      <c r="S22" s="130"/>
      <c r="T22" s="130"/>
      <c r="U22" s="130"/>
      <c r="V22" s="130"/>
    </row>
    <row r="23" spans="1:22" s="5" customFormat="1" x14ac:dyDescent="0.2">
      <c r="A23" s="6" t="s">
        <v>70</v>
      </c>
      <c r="B23" s="7">
        <v>75198798.420000002</v>
      </c>
      <c r="C23" s="7">
        <v>59218064.039999984</v>
      </c>
      <c r="D23" s="7">
        <v>858068.41999999993</v>
      </c>
      <c r="E23" s="7">
        <v>926323.24</v>
      </c>
      <c r="F23" s="7">
        <v>230000.98999999996</v>
      </c>
      <c r="G23" s="7">
        <f t="shared" si="3"/>
        <v>1156324.23</v>
      </c>
      <c r="H23" s="7">
        <f t="shared" si="4"/>
        <v>58061739.809999987</v>
      </c>
      <c r="I23" s="37">
        <f t="shared" si="5"/>
        <v>0.9804734543632001</v>
      </c>
      <c r="L23" s="130"/>
      <c r="M23" s="130"/>
      <c r="N23" s="130"/>
      <c r="O23" s="130"/>
      <c r="P23" s="130"/>
      <c r="R23" s="130"/>
      <c r="S23" s="130"/>
      <c r="T23" s="130"/>
      <c r="U23" s="130"/>
      <c r="V23" s="130"/>
    </row>
    <row r="24" spans="1:22" s="5" customFormat="1" x14ac:dyDescent="0.2">
      <c r="A24" s="6" t="s">
        <v>21</v>
      </c>
      <c r="B24" s="7">
        <v>27437095</v>
      </c>
      <c r="C24" s="7">
        <v>26038160.169999998</v>
      </c>
      <c r="D24" s="7">
        <v>25047.599999999999</v>
      </c>
      <c r="E24" s="7">
        <v>25682.1</v>
      </c>
      <c r="F24" s="7">
        <v>2408050.2800000003</v>
      </c>
      <c r="G24" s="7">
        <f t="shared" si="3"/>
        <v>2433732.3800000004</v>
      </c>
      <c r="H24" s="7">
        <f t="shared" si="4"/>
        <v>23604427.789999999</v>
      </c>
      <c r="I24" s="37">
        <f t="shared" si="5"/>
        <v>0.90653209120343159</v>
      </c>
      <c r="L24" s="130"/>
      <c r="M24" s="130"/>
      <c r="N24" s="130"/>
      <c r="O24" s="130"/>
      <c r="P24" s="130"/>
      <c r="R24" s="130"/>
      <c r="S24" s="130"/>
      <c r="T24" s="130"/>
      <c r="U24" s="130"/>
      <c r="V24" s="130"/>
    </row>
    <row r="25" spans="1:22" s="5" customFormat="1" x14ac:dyDescent="0.2">
      <c r="A25" s="6" t="s">
        <v>22</v>
      </c>
      <c r="B25" s="7">
        <v>80157858.5</v>
      </c>
      <c r="C25" s="7">
        <v>5905187.2599999998</v>
      </c>
      <c r="D25" s="7">
        <v>187562.41999999998</v>
      </c>
      <c r="E25" s="7">
        <v>347923.25999999995</v>
      </c>
      <c r="F25" s="7">
        <v>6558.88</v>
      </c>
      <c r="G25" s="7">
        <f t="shared" si="3"/>
        <v>354482.13999999996</v>
      </c>
      <c r="H25" s="7">
        <f t="shared" si="4"/>
        <v>5550705.1200000001</v>
      </c>
      <c r="I25" s="37">
        <f t="shared" si="5"/>
        <v>0.93997105859772523</v>
      </c>
      <c r="L25" s="130"/>
      <c r="M25" s="130"/>
      <c r="N25" s="130"/>
      <c r="O25" s="130"/>
      <c r="P25" s="130"/>
      <c r="R25" s="130"/>
      <c r="S25" s="130"/>
      <c r="T25" s="130"/>
      <c r="U25" s="130"/>
      <c r="V25" s="130"/>
    </row>
    <row r="26" spans="1:22" s="5" customFormat="1" x14ac:dyDescent="0.2">
      <c r="A26" s="6" t="s">
        <v>23</v>
      </c>
      <c r="B26" s="7">
        <v>0</v>
      </c>
      <c r="C26" s="7">
        <v>-6980.6100000000151</v>
      </c>
      <c r="D26" s="7">
        <v>189463.6</v>
      </c>
      <c r="E26" s="7">
        <v>203676.75999999998</v>
      </c>
      <c r="F26" s="7">
        <v>2443.8000000000002</v>
      </c>
      <c r="G26" s="7">
        <f t="shared" si="3"/>
        <v>206120.55999999997</v>
      </c>
      <c r="H26" s="7">
        <f t="shared" si="4"/>
        <v>-213101.16999999998</v>
      </c>
      <c r="I26" s="37">
        <f t="shared" si="5"/>
        <v>30.527585698097948</v>
      </c>
      <c r="L26" s="130"/>
      <c r="M26" s="130"/>
      <c r="N26" s="130"/>
      <c r="O26" s="130"/>
      <c r="P26" s="130"/>
      <c r="R26" s="130"/>
      <c r="S26" s="130"/>
      <c r="T26" s="130"/>
      <c r="U26" s="130"/>
      <c r="V26" s="130"/>
    </row>
    <row r="27" spans="1:22" s="5" customFormat="1" x14ac:dyDescent="0.2">
      <c r="A27" s="6" t="s">
        <v>29</v>
      </c>
      <c r="B27" s="7">
        <v>53744641</v>
      </c>
      <c r="C27" s="7">
        <v>21745413.359999999</v>
      </c>
      <c r="D27" s="7">
        <v>0</v>
      </c>
      <c r="E27" s="7">
        <v>0</v>
      </c>
      <c r="F27" s="7">
        <v>2000</v>
      </c>
      <c r="G27" s="7">
        <f t="shared" si="3"/>
        <v>2000</v>
      </c>
      <c r="H27" s="7">
        <f t="shared" si="4"/>
        <v>21743413.359999999</v>
      </c>
      <c r="I27" s="37">
        <f t="shared" si="5"/>
        <v>0.99990802658165701</v>
      </c>
      <c r="L27" s="130"/>
      <c r="M27" s="130"/>
      <c r="N27" s="130"/>
      <c r="O27" s="130"/>
      <c r="P27" s="130"/>
      <c r="R27" s="130"/>
      <c r="S27" s="130"/>
      <c r="T27" s="130"/>
      <c r="U27" s="130"/>
      <c r="V27" s="130"/>
    </row>
    <row r="28" spans="1:22" s="5" customFormat="1" x14ac:dyDescent="0.2">
      <c r="A28" s="6" t="s">
        <v>30</v>
      </c>
      <c r="B28" s="7">
        <v>4354000</v>
      </c>
      <c r="C28" s="7">
        <v>4354000</v>
      </c>
      <c r="D28" s="7">
        <v>183432.32000000001</v>
      </c>
      <c r="E28" s="7">
        <v>265748.44</v>
      </c>
      <c r="F28" s="7">
        <v>1291698.78</v>
      </c>
      <c r="G28" s="7">
        <f t="shared" si="3"/>
        <v>1557447.22</v>
      </c>
      <c r="H28" s="7">
        <f t="shared" si="4"/>
        <v>2796552.7800000003</v>
      </c>
      <c r="I28" s="37">
        <f t="shared" si="5"/>
        <v>0.64229508038585215</v>
      </c>
      <c r="L28" s="130"/>
      <c r="M28" s="130"/>
      <c r="N28" s="130"/>
      <c r="O28" s="130"/>
      <c r="P28" s="130"/>
      <c r="R28" s="130"/>
      <c r="S28" s="130"/>
      <c r="T28" s="130"/>
      <c r="U28" s="130"/>
      <c r="V28" s="130"/>
    </row>
    <row r="29" spans="1:22" s="5" customFormat="1" x14ac:dyDescent="0.2">
      <c r="A29" s="6" t="s">
        <v>72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0"/>
      <c r="S29" s="130"/>
      <c r="T29" s="130"/>
      <c r="U29" s="130"/>
      <c r="V29" s="130"/>
    </row>
    <row r="30" spans="1:22" s="5" customFormat="1" x14ac:dyDescent="0.2">
      <c r="A30" s="6" t="s">
        <v>73</v>
      </c>
      <c r="B30" s="7">
        <v>158786775.39999998</v>
      </c>
      <c r="C30" s="7">
        <v>131620672.88</v>
      </c>
      <c r="D30" s="7">
        <v>3680226.73</v>
      </c>
      <c r="E30" s="7">
        <v>19944389.759999998</v>
      </c>
      <c r="F30" s="7">
        <v>3543586.02</v>
      </c>
      <c r="G30" s="7">
        <f t="shared" ref="G30" si="8">SUM(E30:F30)</f>
        <v>23487975.779999997</v>
      </c>
      <c r="H30" s="7">
        <f t="shared" ref="H30" si="9">C30-G30</f>
        <v>108132697.09999999</v>
      </c>
      <c r="I30" s="37">
        <f t="shared" si="5"/>
        <v>0.82154797368788535</v>
      </c>
      <c r="L30" s="130"/>
      <c r="M30" s="130"/>
      <c r="N30" s="130"/>
      <c r="O30" s="130"/>
      <c r="P30" s="130"/>
      <c r="R30" s="130"/>
      <c r="S30" s="130"/>
      <c r="T30" s="130"/>
      <c r="U30" s="130"/>
      <c r="V30" s="130"/>
    </row>
    <row r="31" spans="1:22" s="5" customFormat="1" x14ac:dyDescent="0.2">
      <c r="A31" s="6" t="s">
        <v>25</v>
      </c>
      <c r="B31" s="9">
        <v>0</v>
      </c>
      <c r="C31" s="9">
        <v>590000</v>
      </c>
      <c r="D31" s="9">
        <v>886.70000000000016</v>
      </c>
      <c r="E31" s="9">
        <v>1216.4000000000001</v>
      </c>
      <c r="F31" s="9">
        <v>0</v>
      </c>
      <c r="G31" s="9">
        <f t="shared" si="3"/>
        <v>1216.4000000000001</v>
      </c>
      <c r="H31" s="9">
        <f t="shared" si="4"/>
        <v>588783.6</v>
      </c>
      <c r="I31" s="37">
        <f t="shared" si="5"/>
        <v>0.99793830508474568</v>
      </c>
      <c r="L31" s="130"/>
      <c r="M31" s="130"/>
      <c r="N31" s="130"/>
      <c r="O31" s="130"/>
      <c r="P31" s="130"/>
      <c r="R31" s="130"/>
      <c r="S31" s="130"/>
      <c r="T31" s="130"/>
      <c r="U31" s="130"/>
      <c r="V31" s="130"/>
    </row>
    <row r="32" spans="1:22" s="5" customFormat="1" ht="24.95" customHeight="1" x14ac:dyDescent="0.25">
      <c r="A32" s="10" t="s">
        <v>26</v>
      </c>
      <c r="B32" s="11">
        <f t="shared" ref="B32:H32" si="10">SUM(B14:B31)</f>
        <v>659233995.17000008</v>
      </c>
      <c r="C32" s="11">
        <f t="shared" si="10"/>
        <v>660162057.77999997</v>
      </c>
      <c r="D32" s="11">
        <f t="shared" si="10"/>
        <v>14752022.239999996</v>
      </c>
      <c r="E32" s="11">
        <f t="shared" si="10"/>
        <v>37131821.199999996</v>
      </c>
      <c r="F32" s="11">
        <f t="shared" si="10"/>
        <v>43367665.060000017</v>
      </c>
      <c r="G32" s="11">
        <f t="shared" si="10"/>
        <v>80499486.260000005</v>
      </c>
      <c r="H32" s="11">
        <f t="shared" si="10"/>
        <v>579662571.51999998</v>
      </c>
      <c r="I32" s="34">
        <f>IF(C32=0,"",H32/C32)</f>
        <v>0.87806102257572249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0"/>
      <c r="M33" s="130"/>
      <c r="N33" s="130"/>
      <c r="O33" s="130"/>
      <c r="P33" s="130"/>
    </row>
    <row r="34" spans="1:16" s="5" customFormat="1" x14ac:dyDescent="0.2">
      <c r="A34" s="6" t="s">
        <v>27</v>
      </c>
      <c r="B34" s="7">
        <f>B13-B32</f>
        <v>-300997067.17000008</v>
      </c>
      <c r="C34" s="7">
        <f>C13-C32</f>
        <v>13415047.240000129</v>
      </c>
      <c r="D34" s="7">
        <f>D13-D32</f>
        <v>-14001916.879999997</v>
      </c>
      <c r="E34" s="7">
        <f>E13-E32</f>
        <v>-34787836.629999995</v>
      </c>
      <c r="F34" s="7"/>
      <c r="G34" s="7">
        <f>G13-G32</f>
        <v>-78155501.689999998</v>
      </c>
      <c r="H34" s="7">
        <f>H13-H32</f>
        <v>91570548.930000067</v>
      </c>
      <c r="I34" s="16"/>
      <c r="L34" s="130"/>
      <c r="M34" s="130"/>
      <c r="N34" s="130"/>
      <c r="O34" s="130"/>
      <c r="P34" s="130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0"/>
      <c r="M35" s="130"/>
      <c r="N35" s="130"/>
      <c r="O35" s="130"/>
      <c r="P35" s="130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0"/>
      <c r="M36" s="130"/>
      <c r="N36" s="130"/>
      <c r="O36" s="130"/>
      <c r="P36" s="130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-34787836.629999995</v>
      </c>
      <c r="F37" s="24"/>
      <c r="G37" s="24">
        <f>SUM(G34:G36)</f>
        <v>-78155501.689999998</v>
      </c>
      <c r="H37" s="24"/>
      <c r="I37" s="25"/>
      <c r="L37" s="130"/>
      <c r="M37" s="130"/>
      <c r="N37" s="130"/>
      <c r="O37" s="130"/>
      <c r="P37" s="130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0"/>
      <c r="M38" s="130"/>
      <c r="N38" s="130"/>
      <c r="O38" s="130"/>
      <c r="P38" s="130"/>
    </row>
    <row r="39" spans="1:16" x14ac:dyDescent="0.25">
      <c r="I39" s="28"/>
      <c r="J39" s="129"/>
      <c r="K39" s="129"/>
      <c r="O39" s="1"/>
      <c r="P39" s="1"/>
    </row>
    <row r="40" spans="1:16" x14ac:dyDescent="0.25">
      <c r="B40" s="129"/>
      <c r="C40" s="129"/>
      <c r="D40" s="129"/>
      <c r="E40" s="129"/>
      <c r="F40" s="129"/>
      <c r="G40" s="129"/>
      <c r="H40" s="129"/>
      <c r="L40" s="1"/>
      <c r="M40" s="1"/>
      <c r="N40" s="1"/>
      <c r="O40" s="1"/>
      <c r="P40" s="1"/>
    </row>
    <row r="41" spans="1:16" x14ac:dyDescent="0.25">
      <c r="B41" s="129"/>
      <c r="C41" s="129"/>
      <c r="D41" s="129"/>
      <c r="E41" s="129"/>
      <c r="F41" s="129"/>
      <c r="G41" s="129"/>
      <c r="H41" s="129"/>
      <c r="L41" s="1"/>
      <c r="M41" s="1"/>
      <c r="N41" s="1"/>
      <c r="O41" s="1"/>
      <c r="P41" s="1"/>
    </row>
    <row r="42" spans="1:16" x14ac:dyDescent="0.25">
      <c r="B42" s="129"/>
      <c r="C42" s="129"/>
      <c r="D42" s="129"/>
      <c r="E42" s="129"/>
      <c r="F42" s="129"/>
      <c r="G42" s="129"/>
      <c r="H42" s="129"/>
      <c r="L42" s="1"/>
      <c r="M42" s="1"/>
      <c r="N42" s="1"/>
      <c r="O42" s="1"/>
      <c r="P42" s="1"/>
    </row>
    <row r="43" spans="1:16" x14ac:dyDescent="0.25">
      <c r="B43" s="129"/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29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29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29"/>
      <c r="C46" s="129"/>
      <c r="D46" s="129"/>
      <c r="E46" s="129"/>
      <c r="F46" s="129"/>
      <c r="G46" s="129"/>
      <c r="H46" s="129"/>
      <c r="I46" s="129"/>
      <c r="L46" s="1"/>
      <c r="M46" s="1"/>
      <c r="N46" s="1"/>
      <c r="O46" s="1"/>
      <c r="P46" s="1"/>
    </row>
    <row r="47" spans="1:16" x14ac:dyDescent="0.25">
      <c r="B47" s="129"/>
      <c r="C47" s="129"/>
      <c r="D47" s="129"/>
      <c r="E47" s="129"/>
      <c r="F47" s="129"/>
      <c r="G47" s="129"/>
      <c r="H47" s="129"/>
      <c r="I47" s="129"/>
      <c r="L47" s="1"/>
      <c r="M47" s="1"/>
      <c r="N47" s="1"/>
      <c r="O47" s="1"/>
      <c r="P47" s="1"/>
    </row>
    <row r="48" spans="1:16" x14ac:dyDescent="0.25">
      <c r="B48" s="129"/>
      <c r="C48" s="129"/>
      <c r="D48" s="129"/>
      <c r="E48" s="129"/>
      <c r="F48" s="129"/>
      <c r="G48" s="129"/>
      <c r="H48" s="129"/>
      <c r="I48" s="129"/>
      <c r="L48" s="1"/>
      <c r="M48" s="1"/>
      <c r="N48" s="1"/>
      <c r="O48" s="1"/>
      <c r="P48" s="1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L49" s="1"/>
      <c r="M49" s="1"/>
      <c r="N49" s="1"/>
      <c r="O49" s="1"/>
      <c r="P49" s="1"/>
    </row>
    <row r="50" spans="2:16" x14ac:dyDescent="0.25">
      <c r="B50" s="129"/>
      <c r="C50" s="129"/>
      <c r="D50" s="129"/>
      <c r="E50" s="129"/>
      <c r="F50" s="129"/>
      <c r="G50" s="1"/>
      <c r="H50" s="1"/>
      <c r="L50" s="1"/>
      <c r="M50" s="1"/>
      <c r="N50" s="1"/>
      <c r="O50" s="1"/>
      <c r="P50" s="1"/>
    </row>
    <row r="51" spans="2:16" x14ac:dyDescent="0.25">
      <c r="B51" s="129"/>
      <c r="C51" s="129"/>
      <c r="D51" s="129"/>
      <c r="E51" s="129"/>
      <c r="F51" s="129"/>
      <c r="G51" s="1"/>
      <c r="H51" s="1"/>
      <c r="L51" s="1"/>
      <c r="M51" s="1"/>
      <c r="N51" s="1"/>
      <c r="O51" s="1"/>
      <c r="P51" s="1"/>
    </row>
    <row r="52" spans="2:16" x14ac:dyDescent="0.25">
      <c r="B52" s="129"/>
      <c r="C52" s="129"/>
      <c r="D52" s="129"/>
      <c r="E52" s="129"/>
      <c r="F52" s="129"/>
      <c r="G52" s="1"/>
      <c r="H52" s="1"/>
      <c r="L52" s="1"/>
      <c r="M52" s="1"/>
      <c r="N52" s="1"/>
      <c r="O52" s="1"/>
      <c r="P52" s="1"/>
    </row>
    <row r="53" spans="2:16" x14ac:dyDescent="0.25">
      <c r="B53" s="129"/>
      <c r="C53" s="129"/>
      <c r="D53" s="129"/>
      <c r="E53" s="129"/>
      <c r="F53" s="129"/>
      <c r="G53" s="1"/>
      <c r="H53" s="1"/>
      <c r="L53" s="1"/>
      <c r="M53" s="1"/>
      <c r="N53" s="1"/>
      <c r="O53" s="1"/>
      <c r="P53" s="1"/>
    </row>
    <row r="54" spans="2:16" x14ac:dyDescent="0.25">
      <c r="B54" s="129"/>
      <c r="C54" s="129"/>
      <c r="D54" s="129"/>
      <c r="E54" s="129"/>
      <c r="F54" s="129"/>
      <c r="G54" s="129"/>
      <c r="H54" s="129"/>
      <c r="L54" s="1"/>
      <c r="M54" s="1"/>
      <c r="N54" s="1"/>
      <c r="O54" s="1"/>
      <c r="P54" s="1"/>
    </row>
    <row r="55" spans="2:16" x14ac:dyDescent="0.25">
      <c r="B55" s="129"/>
      <c r="C55" s="129"/>
      <c r="D55" s="129"/>
      <c r="E55" s="129"/>
      <c r="F55" s="129"/>
      <c r="G55" s="129"/>
      <c r="H55" s="129"/>
      <c r="L55" s="1"/>
      <c r="M55" s="1"/>
      <c r="N55" s="1"/>
      <c r="O55" s="1"/>
      <c r="P55" s="1"/>
    </row>
    <row r="56" spans="2:16" x14ac:dyDescent="0.25">
      <c r="B56" s="129"/>
      <c r="C56" s="129"/>
      <c r="D56" s="129"/>
      <c r="E56" s="129"/>
      <c r="F56" s="129"/>
      <c r="G56" s="129"/>
      <c r="H56" s="129"/>
      <c r="L56" s="1"/>
      <c r="M56" s="1"/>
      <c r="N56" s="1"/>
      <c r="O56" s="1"/>
      <c r="P56" s="1"/>
    </row>
    <row r="57" spans="2:16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L57" s="1"/>
      <c r="M57" s="1"/>
      <c r="N57" s="1"/>
      <c r="O57" s="1"/>
      <c r="P57" s="1"/>
    </row>
    <row r="58" spans="2:16" x14ac:dyDescent="0.25">
      <c r="B58" s="129"/>
      <c r="C58" s="129"/>
      <c r="D58" s="129"/>
      <c r="E58" s="129"/>
      <c r="F58" s="129"/>
      <c r="G58" s="129"/>
      <c r="H58" s="129"/>
      <c r="I58" s="129"/>
      <c r="J58" s="129"/>
      <c r="L58" s="1"/>
      <c r="M58" s="1"/>
      <c r="N58" s="1"/>
      <c r="O58" s="1"/>
      <c r="P58" s="1"/>
    </row>
    <row r="59" spans="2:16" x14ac:dyDescent="0.25">
      <c r="B59" s="129"/>
      <c r="C59" s="129"/>
      <c r="D59" s="129"/>
      <c r="E59" s="129"/>
      <c r="F59" s="129"/>
      <c r="G59" s="129"/>
      <c r="H59" s="129"/>
      <c r="I59" s="129"/>
      <c r="J59" s="129"/>
      <c r="L59" s="1"/>
      <c r="M59" s="1"/>
      <c r="N59" s="1"/>
      <c r="O59" s="1"/>
      <c r="P59" s="1"/>
    </row>
    <row r="60" spans="2:16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L60" s="1"/>
      <c r="M60" s="1"/>
      <c r="N60" s="1"/>
      <c r="O60" s="1"/>
      <c r="P60" s="1"/>
    </row>
    <row r="61" spans="2:16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L61" s="1"/>
      <c r="M61" s="1"/>
      <c r="N61" s="1"/>
      <c r="O61" s="1"/>
      <c r="P61" s="1"/>
    </row>
    <row r="62" spans="2:16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L62" s="1"/>
      <c r="M62" s="1"/>
      <c r="N62" s="1"/>
      <c r="O62" s="1"/>
      <c r="P62" s="1"/>
    </row>
    <row r="63" spans="2:16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L63" s="1"/>
      <c r="M63" s="1"/>
      <c r="N63" s="1"/>
      <c r="O63" s="1"/>
      <c r="P63" s="1"/>
    </row>
    <row r="64" spans="2:16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L64" s="1"/>
      <c r="M64" s="1"/>
      <c r="N64" s="1"/>
      <c r="O64" s="1"/>
      <c r="P64" s="1"/>
    </row>
    <row r="65" spans="2:16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L65" s="1"/>
      <c r="M65" s="1"/>
      <c r="N65" s="1"/>
      <c r="O65" s="1"/>
      <c r="P65" s="1"/>
    </row>
    <row r="66" spans="2:16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L66" s="1"/>
      <c r="M66" s="1"/>
      <c r="N66" s="1"/>
      <c r="O66" s="1"/>
      <c r="P66" s="1"/>
    </row>
    <row r="67" spans="2:16" x14ac:dyDescent="0.25">
      <c r="B67" s="129"/>
      <c r="C67" s="129"/>
      <c r="D67" s="129"/>
      <c r="E67" s="129"/>
      <c r="F67" s="129"/>
      <c r="G67" s="129"/>
      <c r="H67" s="129"/>
      <c r="I67" s="129"/>
      <c r="J67" s="129"/>
      <c r="L67" s="1"/>
      <c r="M67" s="1"/>
      <c r="N67" s="1"/>
      <c r="O67" s="1"/>
      <c r="P67" s="1"/>
    </row>
    <row r="68" spans="2:16" x14ac:dyDescent="0.2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M68" s="1"/>
      <c r="N68" s="1"/>
      <c r="O68" s="1"/>
      <c r="P68" s="1"/>
    </row>
    <row r="69" spans="2:16" x14ac:dyDescent="0.2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M69" s="1"/>
      <c r="N69" s="1"/>
      <c r="O69" s="1"/>
      <c r="P69" s="1"/>
    </row>
    <row r="70" spans="2:16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M70" s="1"/>
      <c r="N70" s="1"/>
      <c r="O70" s="1"/>
      <c r="P70" s="1"/>
    </row>
    <row r="71" spans="2:16" x14ac:dyDescent="0.2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M71" s="1"/>
      <c r="N71" s="1"/>
      <c r="O71" s="1"/>
      <c r="P71" s="1"/>
    </row>
    <row r="72" spans="2:16" x14ac:dyDescent="0.25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M72" s="1"/>
      <c r="N72" s="1"/>
      <c r="O72" s="1"/>
      <c r="P72" s="1"/>
    </row>
    <row r="73" spans="2:16" x14ac:dyDescent="0.25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M73" s="1"/>
      <c r="N73" s="1"/>
      <c r="O73" s="1"/>
      <c r="P73" s="1"/>
    </row>
    <row r="74" spans="2:16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M74" s="1"/>
      <c r="N74" s="1"/>
      <c r="O74" s="1"/>
      <c r="P74" s="1"/>
    </row>
    <row r="75" spans="2:16" x14ac:dyDescent="0.25">
      <c r="B75" s="129"/>
      <c r="C75" s="129"/>
      <c r="D75" s="129"/>
      <c r="E75" s="129"/>
      <c r="F75" s="129"/>
      <c r="G75" s="129"/>
      <c r="H75" s="129"/>
      <c r="I75" s="28"/>
      <c r="J75" s="129"/>
      <c r="K75" s="129"/>
      <c r="O75" s="1"/>
      <c r="P75" s="1"/>
    </row>
    <row r="76" spans="2:16" x14ac:dyDescent="0.25">
      <c r="B76" s="129"/>
      <c r="C76" s="129"/>
      <c r="D76" s="129"/>
      <c r="E76" s="129"/>
      <c r="F76" s="129"/>
      <c r="G76" s="129"/>
      <c r="H76" s="129"/>
      <c r="I76" s="28"/>
      <c r="J76" s="129"/>
      <c r="K76" s="129"/>
      <c r="O76" s="1"/>
      <c r="P76" s="1"/>
    </row>
    <row r="77" spans="2:16" x14ac:dyDescent="0.25">
      <c r="B77" s="129"/>
      <c r="C77" s="129"/>
      <c r="D77" s="129"/>
      <c r="E77" s="129"/>
      <c r="F77" s="129"/>
      <c r="G77" s="129"/>
      <c r="H77" s="129"/>
      <c r="I77" s="28"/>
      <c r="J77" s="129"/>
      <c r="K77" s="129"/>
      <c r="O77" s="1"/>
      <c r="P77" s="1"/>
    </row>
    <row r="78" spans="2:16" x14ac:dyDescent="0.25">
      <c r="B78" s="129"/>
      <c r="C78" s="129"/>
      <c r="D78" s="129"/>
      <c r="E78" s="129"/>
      <c r="F78" s="129"/>
      <c r="G78" s="129"/>
      <c r="H78" s="129"/>
      <c r="I78" s="28"/>
      <c r="J78" s="129"/>
      <c r="K78" s="129"/>
      <c r="O78" s="1"/>
      <c r="P78" s="1"/>
    </row>
    <row r="79" spans="2:16" x14ac:dyDescent="0.25">
      <c r="B79" s="129"/>
      <c r="I79" s="28"/>
      <c r="J79" s="129"/>
      <c r="K79" s="129"/>
      <c r="O79" s="1"/>
      <c r="P79" s="1"/>
    </row>
    <row r="80" spans="2:16" x14ac:dyDescent="0.25">
      <c r="B80" s="129"/>
      <c r="I80" s="28"/>
      <c r="J80" s="129"/>
      <c r="K80" s="129"/>
      <c r="O80" s="1"/>
      <c r="P80" s="1"/>
    </row>
    <row r="81" spans="2:16" x14ac:dyDescent="0.25">
      <c r="B81" s="129"/>
      <c r="G81" s="1"/>
      <c r="H81" s="1"/>
      <c r="J81" s="129"/>
      <c r="K81" s="129"/>
      <c r="O81" s="1"/>
      <c r="P81" s="1"/>
    </row>
    <row r="82" spans="2:16" x14ac:dyDescent="0.25">
      <c r="B82" s="129"/>
      <c r="G82" s="1"/>
      <c r="H82" s="1"/>
      <c r="J82" s="129"/>
      <c r="K82" s="129"/>
      <c r="O82" s="1"/>
      <c r="P82" s="1"/>
    </row>
    <row r="83" spans="2:16" x14ac:dyDescent="0.25">
      <c r="B83" s="129"/>
      <c r="G83" s="1"/>
      <c r="H83" s="1"/>
      <c r="J83" s="129"/>
      <c r="K83" s="129"/>
      <c r="O83" s="1"/>
      <c r="P83" s="1"/>
    </row>
    <row r="84" spans="2:16" x14ac:dyDescent="0.25">
      <c r="B84" s="129"/>
      <c r="G84" s="1"/>
      <c r="H84" s="1"/>
      <c r="J84" s="129"/>
      <c r="K84" s="129"/>
      <c r="O84" s="1"/>
      <c r="P84" s="1"/>
    </row>
    <row r="85" spans="2:16" x14ac:dyDescent="0.25">
      <c r="B85" s="129"/>
      <c r="G85" s="1"/>
      <c r="H85" s="1"/>
      <c r="J85" s="129"/>
      <c r="K85" s="129"/>
      <c r="O85" s="1"/>
      <c r="P85" s="1"/>
    </row>
    <row r="86" spans="2:16" x14ac:dyDescent="0.25">
      <c r="B86" s="129"/>
      <c r="G86" s="1"/>
      <c r="H86" s="1"/>
      <c r="J86" s="129"/>
      <c r="K86" s="129"/>
      <c r="O86" s="1"/>
      <c r="P86" s="1"/>
    </row>
    <row r="87" spans="2:16" x14ac:dyDescent="0.25">
      <c r="B87" s="129"/>
      <c r="G87" s="1"/>
      <c r="H87" s="1"/>
      <c r="J87" s="129"/>
      <c r="K87" s="129"/>
      <c r="O87" s="1"/>
      <c r="P87" s="1"/>
    </row>
    <row r="88" spans="2:16" x14ac:dyDescent="0.25">
      <c r="B88" s="129"/>
      <c r="G88" s="1"/>
      <c r="H88" s="1"/>
      <c r="J88" s="129"/>
      <c r="K88" s="129"/>
      <c r="O88" s="1"/>
      <c r="P88" s="1"/>
    </row>
    <row r="89" spans="2:16" x14ac:dyDescent="0.25">
      <c r="B89" s="129"/>
      <c r="G89" s="1"/>
      <c r="H89" s="1"/>
      <c r="J89" s="129"/>
      <c r="K89" s="129"/>
      <c r="O89" s="1"/>
      <c r="P89" s="1"/>
    </row>
    <row r="90" spans="2:16" x14ac:dyDescent="0.25">
      <c r="B90" s="129"/>
      <c r="G90" s="1"/>
      <c r="H90" s="1"/>
      <c r="J90" s="129"/>
      <c r="K90" s="129"/>
      <c r="O90" s="1"/>
      <c r="P90" s="1"/>
    </row>
    <row r="91" spans="2:16" x14ac:dyDescent="0.25">
      <c r="B91" s="129"/>
      <c r="G91" s="1"/>
      <c r="H91" s="1"/>
      <c r="J91" s="129"/>
      <c r="K91" s="129"/>
      <c r="O91" s="1"/>
      <c r="P91" s="1"/>
    </row>
    <row r="92" spans="2:16" x14ac:dyDescent="0.25">
      <c r="G92" s="1"/>
      <c r="H92" s="1"/>
      <c r="J92" s="129"/>
      <c r="K92" s="129"/>
      <c r="O92" s="1"/>
      <c r="P92" s="1"/>
    </row>
    <row r="93" spans="2:16" x14ac:dyDescent="0.25">
      <c r="G93" s="1"/>
      <c r="H93" s="1"/>
      <c r="J93" s="129"/>
      <c r="K93" s="129"/>
      <c r="O93" s="1"/>
      <c r="P93" s="1"/>
    </row>
    <row r="94" spans="2:16" x14ac:dyDescent="0.25">
      <c r="G94" s="1"/>
      <c r="H94" s="1"/>
      <c r="J94" s="129"/>
      <c r="K94" s="129"/>
      <c r="O94" s="1"/>
      <c r="P94" s="1"/>
    </row>
    <row r="95" spans="2:16" x14ac:dyDescent="0.25">
      <c r="G95" s="1"/>
      <c r="H95" s="1"/>
      <c r="J95" s="129"/>
      <c r="K95" s="129"/>
      <c r="O95" s="1"/>
      <c r="P95" s="1"/>
    </row>
    <row r="96" spans="2:16" x14ac:dyDescent="0.25">
      <c r="G96" s="1"/>
      <c r="H96" s="1"/>
      <c r="J96" s="129"/>
      <c r="K96" s="129"/>
      <c r="O96" s="1"/>
      <c r="P96" s="1"/>
    </row>
    <row r="97" spans="7:16" x14ac:dyDescent="0.25">
      <c r="G97" s="1"/>
      <c r="H97" s="1"/>
      <c r="J97" s="129"/>
      <c r="K97" s="129"/>
      <c r="O97" s="1"/>
      <c r="P97" s="1"/>
    </row>
    <row r="98" spans="7:16" x14ac:dyDescent="0.25">
      <c r="G98" s="1"/>
      <c r="H98" s="1"/>
      <c r="J98" s="129"/>
      <c r="K98" s="129"/>
      <c r="O98" s="1"/>
      <c r="P98" s="1"/>
    </row>
    <row r="99" spans="7:16" x14ac:dyDescent="0.25">
      <c r="G99" s="1"/>
      <c r="H99" s="1"/>
      <c r="J99" s="129"/>
      <c r="K99" s="129"/>
      <c r="O99" s="1"/>
      <c r="P99" s="1"/>
    </row>
    <row r="100" spans="7:16" x14ac:dyDescent="0.25">
      <c r="G100" s="1"/>
      <c r="H100" s="1"/>
      <c r="J100" s="129"/>
      <c r="K100" s="129"/>
      <c r="O100" s="1"/>
      <c r="P100" s="1"/>
    </row>
    <row r="101" spans="7:16" x14ac:dyDescent="0.25">
      <c r="G101" s="1"/>
      <c r="H101" s="1"/>
      <c r="J101" s="129"/>
      <c r="K101" s="129"/>
      <c r="O101" s="1"/>
      <c r="P101" s="1"/>
    </row>
    <row r="102" spans="7:16" x14ac:dyDescent="0.25">
      <c r="G102" s="1"/>
      <c r="H102" s="1"/>
      <c r="J102" s="129"/>
      <c r="K102" s="129"/>
      <c r="O102" s="1"/>
      <c r="P102" s="1"/>
    </row>
    <row r="103" spans="7:16" x14ac:dyDescent="0.25">
      <c r="G103" s="1"/>
      <c r="H103" s="1"/>
      <c r="J103" s="129"/>
      <c r="K103" s="129"/>
      <c r="O103" s="1"/>
      <c r="P103" s="1"/>
    </row>
    <row r="104" spans="7:16" x14ac:dyDescent="0.25">
      <c r="G104" s="1"/>
      <c r="H104" s="1"/>
      <c r="J104" s="129"/>
      <c r="K104" s="129"/>
      <c r="O104" s="1"/>
      <c r="P104" s="1"/>
    </row>
    <row r="105" spans="7:16" x14ac:dyDescent="0.25">
      <c r="G105" s="1"/>
      <c r="H105" s="1"/>
      <c r="J105" s="129"/>
      <c r="K105" s="129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45535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0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9" bestFit="1" customWidth="1"/>
    <col min="14" max="14" width="12.85546875" style="129" bestFit="1" customWidth="1"/>
    <col min="15" max="16" width="13.5703125" style="129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38"/>
    </row>
    <row r="2" spans="1:22" ht="18.75" x14ac:dyDescent="0.3">
      <c r="A2" s="151" t="s">
        <v>80</v>
      </c>
      <c r="B2" s="151"/>
      <c r="C2" s="151"/>
      <c r="D2" s="151"/>
      <c r="E2" s="151"/>
      <c r="F2" s="151"/>
      <c r="G2" s="151"/>
      <c r="H2" s="151"/>
      <c r="I2" s="151"/>
      <c r="J2" s="39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38"/>
    </row>
    <row r="4" spans="1:22" x14ac:dyDescent="0.25">
      <c r="A4" s="152">
        <v>45535</v>
      </c>
      <c r="B4" s="152"/>
      <c r="C4" s="152"/>
      <c r="D4" s="152"/>
      <c r="E4" s="152"/>
      <c r="F4" s="152"/>
      <c r="G4" s="152"/>
      <c r="H4" s="152"/>
      <c r="I4" s="152"/>
      <c r="J4" s="4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38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146">
        <v>429000000</v>
      </c>
      <c r="C8" s="146">
        <v>429000000</v>
      </c>
      <c r="D8" s="146">
        <v>12782459.800000001</v>
      </c>
      <c r="E8" s="146">
        <v>12782459.800000001</v>
      </c>
      <c r="F8" s="146">
        <v>0</v>
      </c>
      <c r="G8" s="7">
        <f t="shared" ref="G8:G24" si="0">SUM(E8:F8)</f>
        <v>12782459.800000001</v>
      </c>
      <c r="H8" s="7">
        <f t="shared" ref="H8:H11" si="1">C8-G8</f>
        <v>416217540.19999999</v>
      </c>
      <c r="I8" s="33">
        <f>IF(C8=0,"NA",H8/C8)</f>
        <v>0.97020405641025642</v>
      </c>
      <c r="J8" s="42"/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147">
        <v>2800000</v>
      </c>
      <c r="C9" s="147">
        <v>2800000</v>
      </c>
      <c r="D9" s="147">
        <v>2694037.21</v>
      </c>
      <c r="E9" s="147">
        <v>5458724.0500000007</v>
      </c>
      <c r="F9" s="147">
        <v>0</v>
      </c>
      <c r="G9" s="7">
        <f t="shared" si="0"/>
        <v>5458724.0500000007</v>
      </c>
      <c r="H9" s="7">
        <f t="shared" si="1"/>
        <v>-2658724.0500000007</v>
      </c>
      <c r="I9" s="33">
        <f t="shared" ref="I9:I25" si="2">IF(C9=0,"NA",H9/C9)</f>
        <v>-0.94954430357142883</v>
      </c>
      <c r="J9" s="42"/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147">
        <v>0</v>
      </c>
      <c r="C10" s="147">
        <v>0</v>
      </c>
      <c r="D10" s="147">
        <v>0</v>
      </c>
      <c r="E10" s="147">
        <v>0</v>
      </c>
      <c r="F10" s="147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11</v>
      </c>
      <c r="B11" s="148">
        <v>0</v>
      </c>
      <c r="C11" s="148">
        <v>0</v>
      </c>
      <c r="D11" s="148">
        <v>0</v>
      </c>
      <c r="E11" s="148">
        <v>20000000</v>
      </c>
      <c r="F11" s="148">
        <v>0</v>
      </c>
      <c r="G11" s="7">
        <f t="shared" si="0"/>
        <v>20000000</v>
      </c>
      <c r="H11" s="7">
        <f t="shared" si="1"/>
        <v>-20000000</v>
      </c>
      <c r="I11" s="33" t="str">
        <f t="shared" si="2"/>
        <v>NA</v>
      </c>
      <c r="J11" s="42"/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15476497.010000002</v>
      </c>
      <c r="E12" s="11">
        <f t="shared" si="3"/>
        <v>38241183.850000001</v>
      </c>
      <c r="F12" s="11">
        <f t="shared" si="3"/>
        <v>0</v>
      </c>
      <c r="G12" s="11">
        <f t="shared" ref="G12:H12" si="4">SUM(G8:G11)</f>
        <v>38241183.850000001</v>
      </c>
      <c r="H12" s="11">
        <f t="shared" si="4"/>
        <v>393558816.14999998</v>
      </c>
      <c r="I12" s="34">
        <f t="shared" si="2"/>
        <v>0.91143774004168587</v>
      </c>
      <c r="L12" s="1"/>
      <c r="M12" s="1"/>
      <c r="N12" s="1"/>
      <c r="O12" s="1"/>
      <c r="P12" s="1"/>
      <c r="Q12" s="1"/>
      <c r="R12" s="130"/>
      <c r="S12" s="130"/>
      <c r="T12" s="130"/>
      <c r="U12" s="130"/>
      <c r="V12" s="130"/>
    </row>
    <row r="13" spans="1:22" s="5" customFormat="1" x14ac:dyDescent="0.2">
      <c r="A13" s="12" t="s">
        <v>13</v>
      </c>
      <c r="B13" s="13">
        <v>0</v>
      </c>
      <c r="C13" s="13">
        <v>0</v>
      </c>
      <c r="D13" s="13">
        <v>694717.89</v>
      </c>
      <c r="E13" s="13">
        <v>778343.25</v>
      </c>
      <c r="F13" s="13">
        <v>596891.43000000005</v>
      </c>
      <c r="G13" s="7">
        <f t="shared" si="0"/>
        <v>1375234.6800000002</v>
      </c>
      <c r="H13" s="7">
        <f t="shared" ref="H13:H24" si="5">C13-G13</f>
        <v>-1375234.6800000002</v>
      </c>
      <c r="I13" s="37" t="str">
        <f t="shared" si="2"/>
        <v>NA</v>
      </c>
      <c r="J13" s="42"/>
      <c r="R13" s="130"/>
      <c r="S13" s="130"/>
      <c r="T13" s="130"/>
      <c r="U13" s="130"/>
      <c r="V13" s="130"/>
    </row>
    <row r="14" spans="1:22" s="5" customFormat="1" x14ac:dyDescent="0.25">
      <c r="A14" s="6" t="s">
        <v>14</v>
      </c>
      <c r="B14" s="7">
        <v>0</v>
      </c>
      <c r="C14" s="7">
        <v>-1554</v>
      </c>
      <c r="D14" s="7">
        <v>5649.2000000000007</v>
      </c>
      <c r="E14" s="7">
        <v>5649.2000000000007</v>
      </c>
      <c r="F14" s="7">
        <v>10270.9</v>
      </c>
      <c r="G14" s="7">
        <f t="shared" si="0"/>
        <v>15920.1</v>
      </c>
      <c r="H14" s="7">
        <f t="shared" si="5"/>
        <v>-17474.099999999999</v>
      </c>
      <c r="I14" s="37">
        <f t="shared" ref="I14" si="6">IF(C14=0,"NA",H14/C14)</f>
        <v>11.244594594594593</v>
      </c>
      <c r="J14" s="42"/>
      <c r="K14" s="1"/>
      <c r="L14" s="1"/>
      <c r="M14" s="1"/>
      <c r="R14" s="130"/>
      <c r="S14" s="130"/>
      <c r="T14" s="130"/>
      <c r="U14" s="130"/>
      <c r="V14" s="130"/>
    </row>
    <row r="15" spans="1:22" s="5" customFormat="1" x14ac:dyDescent="0.25">
      <c r="A15" s="6" t="s">
        <v>15</v>
      </c>
      <c r="B15" s="7">
        <v>0</v>
      </c>
      <c r="C15" s="7">
        <v>44245656</v>
      </c>
      <c r="D15" s="7">
        <v>697476.5</v>
      </c>
      <c r="E15" s="7">
        <v>812660</v>
      </c>
      <c r="F15" s="7">
        <v>30482554.459999997</v>
      </c>
      <c r="G15" s="7">
        <f t="shared" ref="G15" si="7">SUM(E15:F15)</f>
        <v>31295214.459999997</v>
      </c>
      <c r="H15" s="7">
        <f t="shared" ref="H15:H17" si="8">C15-G15</f>
        <v>12950441.540000003</v>
      </c>
      <c r="I15" s="37">
        <f t="shared" ref="I15:I17" si="9">IF(C15=0,"NA",H15/C15)</f>
        <v>0.29269407916564744</v>
      </c>
      <c r="J15" s="42"/>
      <c r="K15" s="1"/>
      <c r="L15" s="1"/>
      <c r="M15" s="1"/>
      <c r="N15" s="1"/>
      <c r="R15" s="130"/>
      <c r="S15" s="130"/>
      <c r="T15" s="130"/>
      <c r="U15" s="130"/>
      <c r="V15" s="130"/>
    </row>
    <row r="16" spans="1:22" s="5" customFormat="1" x14ac:dyDescent="0.25">
      <c r="A16" s="6" t="s">
        <v>16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ref="G16" si="10">SUM(E16:F16)</f>
        <v>0</v>
      </c>
      <c r="H16" s="7">
        <f t="shared" si="8"/>
        <v>0</v>
      </c>
      <c r="I16" s="37" t="str">
        <f t="shared" si="9"/>
        <v>NA</v>
      </c>
      <c r="J16" s="42"/>
      <c r="K16" s="1"/>
      <c r="L16" s="1"/>
      <c r="M16" s="1"/>
      <c r="N16" s="1"/>
      <c r="R16" s="130"/>
      <c r="S16" s="130"/>
      <c r="T16" s="130"/>
      <c r="U16" s="130"/>
      <c r="V16" s="130"/>
    </row>
    <row r="17" spans="1:22" s="5" customFormat="1" x14ac:dyDescent="0.25">
      <c r="A17" s="149" t="s">
        <v>18</v>
      </c>
      <c r="B17" s="7">
        <v>0</v>
      </c>
      <c r="C17" s="7">
        <v>1554</v>
      </c>
      <c r="D17" s="7">
        <v>0</v>
      </c>
      <c r="E17" s="7">
        <v>0</v>
      </c>
      <c r="F17" s="7">
        <v>1553.86</v>
      </c>
      <c r="G17" s="7">
        <f t="shared" ref="G17" si="11">SUM(E17:F17)</f>
        <v>1553.86</v>
      </c>
      <c r="H17" s="7">
        <f t="shared" si="8"/>
        <v>0.14000000000010004</v>
      </c>
      <c r="I17" s="37">
        <f t="shared" si="9"/>
        <v>9.0090090090154466E-5</v>
      </c>
      <c r="J17" s="42"/>
      <c r="K17" s="1"/>
      <c r="L17" s="1"/>
      <c r="M17" s="1"/>
      <c r="N17" s="1"/>
      <c r="R17" s="130"/>
      <c r="S17" s="130"/>
      <c r="T17" s="130"/>
      <c r="U17" s="130"/>
      <c r="V17" s="130"/>
    </row>
    <row r="18" spans="1:22" s="5" customFormat="1" x14ac:dyDescent="0.25">
      <c r="A18" s="6" t="s">
        <v>70</v>
      </c>
      <c r="B18" s="7">
        <v>10053525.58</v>
      </c>
      <c r="C18" s="7">
        <v>11001557.07</v>
      </c>
      <c r="D18" s="7">
        <v>65286.499999999993</v>
      </c>
      <c r="E18" s="7">
        <v>133091.06</v>
      </c>
      <c r="F18" s="7">
        <v>0</v>
      </c>
      <c r="G18" s="7">
        <f t="shared" si="0"/>
        <v>133091.06</v>
      </c>
      <c r="H18" s="7">
        <f t="shared" si="5"/>
        <v>10868466.01</v>
      </c>
      <c r="I18" s="37">
        <f t="shared" ref="I18" si="12">IF(C18=0,"NA",H18/C18)</f>
        <v>0.98790252514683352</v>
      </c>
      <c r="J18" s="42"/>
      <c r="L18" s="1"/>
      <c r="M18" s="1"/>
      <c r="N18" s="1"/>
      <c r="O18" s="1"/>
      <c r="P18" s="1"/>
      <c r="Q18" s="1"/>
      <c r="R18" s="130"/>
      <c r="S18" s="130"/>
      <c r="T18" s="130"/>
      <c r="U18" s="130"/>
      <c r="V18" s="130"/>
    </row>
    <row r="19" spans="1:22" s="5" customFormat="1" x14ac:dyDescent="0.25">
      <c r="A19" s="6" t="s">
        <v>21</v>
      </c>
      <c r="B19" s="7">
        <v>1000000</v>
      </c>
      <c r="C19" s="7">
        <v>723685</v>
      </c>
      <c r="D19" s="7">
        <v>0</v>
      </c>
      <c r="E19" s="7">
        <v>0</v>
      </c>
      <c r="F19" s="7">
        <v>32075.469999999998</v>
      </c>
      <c r="G19" s="7">
        <f t="shared" si="0"/>
        <v>32075.469999999998</v>
      </c>
      <c r="H19" s="7">
        <f t="shared" si="5"/>
        <v>691609.53</v>
      </c>
      <c r="I19" s="37">
        <f>IF(C19=0,"NA",H19/C19)</f>
        <v>0.95567758071536657</v>
      </c>
      <c r="J19" s="42"/>
      <c r="L19" s="1"/>
      <c r="M19" s="1"/>
      <c r="N19" s="1"/>
      <c r="O19" s="1"/>
      <c r="P19" s="1"/>
      <c r="Q19" s="1"/>
      <c r="R19" s="130"/>
      <c r="S19" s="130"/>
      <c r="T19" s="130"/>
      <c r="U19" s="130"/>
      <c r="V19" s="130"/>
    </row>
    <row r="20" spans="1:22" s="5" customFormat="1" x14ac:dyDescent="0.25">
      <c r="A20" s="6" t="s">
        <v>22</v>
      </c>
      <c r="B20" s="7">
        <v>18000000</v>
      </c>
      <c r="C20" s="7">
        <v>18000000</v>
      </c>
      <c r="D20" s="7">
        <v>272454.53000000003</v>
      </c>
      <c r="E20" s="7">
        <v>541939.06000000006</v>
      </c>
      <c r="F20" s="7">
        <v>0</v>
      </c>
      <c r="G20" s="7">
        <f t="shared" si="0"/>
        <v>541939.06000000006</v>
      </c>
      <c r="H20" s="7">
        <f t="shared" si="5"/>
        <v>17458060.940000001</v>
      </c>
      <c r="I20" s="37">
        <f>IF(C20=0,"NA",H20/C20)</f>
        <v>0.96989227444444448</v>
      </c>
      <c r="J20" s="42"/>
      <c r="K20" s="129"/>
      <c r="L20" s="129"/>
      <c r="M20" s="129"/>
      <c r="N20" s="129"/>
      <c r="O20" s="1"/>
      <c r="P20" s="1"/>
      <c r="Q20" s="1"/>
      <c r="R20" s="129"/>
      <c r="S20" s="130"/>
      <c r="T20" s="130"/>
      <c r="U20" s="130"/>
      <c r="V20" s="130"/>
    </row>
    <row r="21" spans="1:22" s="5" customFormat="1" x14ac:dyDescent="0.25">
      <c r="A21" s="6" t="s">
        <v>30</v>
      </c>
      <c r="B21" s="7">
        <v>0</v>
      </c>
      <c r="C21" s="7">
        <v>0</v>
      </c>
      <c r="D21" s="7">
        <v>0</v>
      </c>
      <c r="E21" s="7">
        <v>0</v>
      </c>
      <c r="F21" s="7">
        <v>9497911.9799999986</v>
      </c>
      <c r="G21" s="7">
        <f t="shared" ref="G21" si="13">SUM(E21:F21)</f>
        <v>9497911.9799999986</v>
      </c>
      <c r="H21" s="7">
        <f t="shared" ref="H21" si="14">C21-G21</f>
        <v>-9497911.9799999986</v>
      </c>
      <c r="I21" s="37" t="str">
        <f>IF(C21=0,"NA",H21/C21)</f>
        <v>NA</v>
      </c>
      <c r="J21" s="42"/>
      <c r="K21" s="129"/>
      <c r="L21" s="129"/>
      <c r="M21" s="129"/>
      <c r="N21" s="129"/>
      <c r="O21" s="1"/>
      <c r="P21" s="1"/>
      <c r="Q21" s="1"/>
      <c r="R21" s="129"/>
      <c r="S21" s="129"/>
      <c r="T21" s="1"/>
      <c r="U21" s="130"/>
      <c r="V21" s="130"/>
    </row>
    <row r="22" spans="1:22" s="5" customFormat="1" x14ac:dyDescent="0.25">
      <c r="A22" s="6" t="s">
        <v>73</v>
      </c>
      <c r="B22" s="7">
        <v>729323049.63999987</v>
      </c>
      <c r="C22" s="7">
        <v>693984646.29999983</v>
      </c>
      <c r="D22" s="7">
        <v>24487670.510000002</v>
      </c>
      <c r="E22" s="7">
        <v>45198017.560000002</v>
      </c>
      <c r="F22" s="7">
        <v>104290257.43000001</v>
      </c>
      <c r="G22" s="7">
        <f t="shared" si="0"/>
        <v>149488274.99000001</v>
      </c>
      <c r="H22" s="7">
        <f t="shared" si="5"/>
        <v>544496371.30999982</v>
      </c>
      <c r="I22" s="37">
        <f t="shared" si="2"/>
        <v>0.78459426186587655</v>
      </c>
      <c r="K22" s="129"/>
      <c r="L22" s="129"/>
      <c r="M22" s="129"/>
      <c r="N22" s="129"/>
      <c r="O22" s="1"/>
      <c r="P22" s="1"/>
      <c r="Q22" s="1"/>
      <c r="R22" s="1"/>
      <c r="S22" s="129"/>
      <c r="T22" s="1"/>
      <c r="U22" s="130"/>
      <c r="V22" s="130"/>
    </row>
    <row r="23" spans="1:22" s="5" customFormat="1" x14ac:dyDescent="0.25">
      <c r="A23" s="6" t="s">
        <v>25</v>
      </c>
      <c r="B23" s="7">
        <v>83403442</v>
      </c>
      <c r="C23" s="7">
        <v>83403442</v>
      </c>
      <c r="D23" s="7">
        <v>0</v>
      </c>
      <c r="E23" s="7">
        <v>0</v>
      </c>
      <c r="F23" s="7">
        <v>0</v>
      </c>
      <c r="G23" s="7">
        <f t="shared" si="0"/>
        <v>0</v>
      </c>
      <c r="H23" s="7">
        <f t="shared" si="5"/>
        <v>83403442</v>
      </c>
      <c r="I23" s="37">
        <f t="shared" si="2"/>
        <v>1</v>
      </c>
      <c r="J23" s="42"/>
      <c r="K23" s="1"/>
      <c r="L23" s="129"/>
      <c r="M23" s="129"/>
      <c r="N23" s="129"/>
      <c r="O23" s="129"/>
      <c r="P23" s="129"/>
      <c r="Q23" s="1"/>
      <c r="R23" s="1"/>
      <c r="S23" s="129"/>
      <c r="T23" s="129"/>
      <c r="U23" s="130"/>
      <c r="V23" s="130"/>
    </row>
    <row r="24" spans="1:22" s="5" customFormat="1" x14ac:dyDescent="0.25">
      <c r="A24" s="6" t="s">
        <v>24</v>
      </c>
      <c r="B24" s="7">
        <v>5572080</v>
      </c>
      <c r="C24" s="7">
        <v>5572080</v>
      </c>
      <c r="D24" s="7">
        <v>0</v>
      </c>
      <c r="E24" s="7">
        <v>0</v>
      </c>
      <c r="F24" s="7">
        <v>0</v>
      </c>
      <c r="G24" s="7">
        <f t="shared" si="0"/>
        <v>0</v>
      </c>
      <c r="H24" s="7">
        <f t="shared" si="5"/>
        <v>5572080</v>
      </c>
      <c r="I24" s="37">
        <f t="shared" si="2"/>
        <v>1</v>
      </c>
      <c r="K24" s="1"/>
      <c r="L24" s="129"/>
      <c r="M24" s="129"/>
      <c r="N24" s="129"/>
      <c r="O24" s="129"/>
      <c r="P24" s="129"/>
      <c r="Q24" s="1"/>
      <c r="R24" s="1"/>
      <c r="S24" s="129"/>
      <c r="T24" s="129"/>
      <c r="U24" s="130"/>
      <c r="V24" s="130"/>
    </row>
    <row r="25" spans="1:22" s="5" customFormat="1" ht="24.95" customHeight="1" x14ac:dyDescent="0.25">
      <c r="A25" s="10" t="s">
        <v>26</v>
      </c>
      <c r="B25" s="11">
        <f t="shared" ref="B25:H25" si="15">SUM(B13:B24)</f>
        <v>847352097.21999991</v>
      </c>
      <c r="C25" s="11">
        <f t="shared" si="15"/>
        <v>856931066.36999989</v>
      </c>
      <c r="D25" s="11">
        <f t="shared" si="15"/>
        <v>26223255.130000003</v>
      </c>
      <c r="E25" s="11">
        <f t="shared" si="15"/>
        <v>47469700.130000003</v>
      </c>
      <c r="F25" s="11">
        <f t="shared" si="15"/>
        <v>144911515.53</v>
      </c>
      <c r="G25" s="11">
        <f t="shared" si="15"/>
        <v>192381215.66</v>
      </c>
      <c r="H25" s="11">
        <f t="shared" si="15"/>
        <v>664549850.7099998</v>
      </c>
      <c r="I25" s="34">
        <f t="shared" si="2"/>
        <v>0.77549977680826077</v>
      </c>
      <c r="K25" s="1"/>
      <c r="L25" s="129"/>
      <c r="M25" s="129"/>
      <c r="N25" s="129"/>
      <c r="O25" s="129"/>
      <c r="P25" s="129"/>
      <c r="Q25" s="1"/>
      <c r="R25" s="129"/>
      <c r="S25" s="129"/>
      <c r="T25" s="129"/>
      <c r="U25" s="1"/>
      <c r="V25" s="130"/>
    </row>
    <row r="26" spans="1:22" x14ac:dyDescent="0.25">
      <c r="A26" s="12"/>
      <c r="B26" s="13"/>
      <c r="C26" s="13"/>
      <c r="D26" s="13"/>
      <c r="E26" s="13"/>
      <c r="F26" s="13"/>
      <c r="G26" s="13"/>
      <c r="H26" s="13"/>
      <c r="I26" s="15"/>
      <c r="J26" s="43"/>
      <c r="K26" s="129"/>
      <c r="O26" s="1"/>
      <c r="P26" s="1"/>
      <c r="Q26" s="129"/>
      <c r="R26" s="129"/>
      <c r="S26" s="129"/>
      <c r="T26" s="129"/>
    </row>
    <row r="27" spans="1:22" x14ac:dyDescent="0.25">
      <c r="A27" s="6" t="s">
        <v>27</v>
      </c>
      <c r="B27" s="7">
        <f>B12-B25</f>
        <v>-415552097.21999991</v>
      </c>
      <c r="C27" s="7">
        <f>C12-C25</f>
        <v>-425131066.36999989</v>
      </c>
      <c r="D27" s="7">
        <f>D12-D25</f>
        <v>-10746758.120000001</v>
      </c>
      <c r="E27" s="7">
        <f>E12-E25</f>
        <v>-9228516.2800000012</v>
      </c>
      <c r="F27" s="7"/>
      <c r="G27" s="7">
        <f>G12-G25</f>
        <v>-154140031.81</v>
      </c>
      <c r="H27" s="7">
        <f>H12-H25</f>
        <v>-270991034.55999982</v>
      </c>
      <c r="I27" s="16"/>
      <c r="K27" s="129"/>
      <c r="O27" s="1"/>
      <c r="P27" s="1"/>
      <c r="Q27" s="129"/>
      <c r="R27" s="129"/>
      <c r="S27" s="129"/>
      <c r="T27" s="129"/>
    </row>
    <row r="28" spans="1:22" x14ac:dyDescent="0.25">
      <c r="A28" s="8"/>
      <c r="B28" s="9"/>
      <c r="C28" s="9"/>
      <c r="D28" s="9"/>
      <c r="E28" s="9"/>
      <c r="F28" s="9"/>
      <c r="G28" s="9"/>
      <c r="H28" s="9"/>
      <c r="I28" s="17"/>
      <c r="K28" s="129"/>
      <c r="O28" s="1"/>
      <c r="P28" s="1"/>
      <c r="Q28" s="129"/>
      <c r="R28" s="129"/>
      <c r="S28" s="129"/>
      <c r="T28" s="129"/>
      <c r="U28" s="129"/>
    </row>
    <row r="29" spans="1:22" s="129" customFormat="1" x14ac:dyDescent="0.25">
      <c r="A29" s="18" t="s">
        <v>67</v>
      </c>
      <c r="B29" s="20"/>
      <c r="C29" s="20"/>
      <c r="D29" s="20"/>
      <c r="E29" s="145">
        <v>613779961.5</v>
      </c>
      <c r="F29" s="20"/>
      <c r="G29" s="20">
        <f>E29</f>
        <v>613779961.5</v>
      </c>
      <c r="H29" s="20"/>
      <c r="I29" s="21"/>
      <c r="O29" s="1"/>
      <c r="P29" s="1"/>
    </row>
    <row r="30" spans="1:22" s="129" customFormat="1" ht="15.75" thickBot="1" x14ac:dyDescent="0.3">
      <c r="A30" s="22" t="s">
        <v>28</v>
      </c>
      <c r="B30" s="24"/>
      <c r="C30" s="24"/>
      <c r="D30" s="24"/>
      <c r="E30" s="24">
        <f>SUM(E27:E29)</f>
        <v>604551445.22000003</v>
      </c>
      <c r="F30" s="24"/>
      <c r="G30" s="24">
        <f>SUM(G27:G29)</f>
        <v>459639929.69</v>
      </c>
      <c r="H30" s="24"/>
      <c r="I30" s="25"/>
      <c r="O30" s="1"/>
      <c r="P30" s="1"/>
    </row>
    <row r="31" spans="1:22" s="129" customFormat="1" x14ac:dyDescent="0.25">
      <c r="A31" s="5"/>
      <c r="B31" s="31"/>
      <c r="C31" s="31"/>
      <c r="D31" s="31"/>
      <c r="E31" s="31"/>
      <c r="F31" s="31"/>
      <c r="G31" s="31"/>
      <c r="H31" s="31"/>
      <c r="I31" s="5"/>
      <c r="K31" s="1"/>
      <c r="Q31" s="1"/>
      <c r="R31" s="1"/>
    </row>
    <row r="32" spans="1:22" s="129" customFormat="1" x14ac:dyDescent="0.25">
      <c r="H32" s="140"/>
      <c r="K32" s="1"/>
      <c r="Q32" s="1"/>
      <c r="R32" s="1"/>
      <c r="S32" s="1"/>
      <c r="T32" s="1"/>
    </row>
    <row r="33" spans="1:21" s="129" customFormat="1" x14ac:dyDescent="0.25">
      <c r="B33" s="140"/>
      <c r="K33" s="1"/>
      <c r="Q33" s="1"/>
      <c r="R33" s="1"/>
      <c r="S33" s="1"/>
      <c r="T33" s="1"/>
    </row>
    <row r="34" spans="1:21" s="129" customFormat="1" x14ac:dyDescent="0.25">
      <c r="D34" s="140"/>
      <c r="K34" s="1"/>
      <c r="Q34" s="1"/>
      <c r="R34" s="1"/>
      <c r="S34" s="1"/>
      <c r="T34" s="1"/>
    </row>
    <row r="35" spans="1:21" s="129" customFormat="1" x14ac:dyDescent="0.25">
      <c r="I35" s="1"/>
      <c r="K35" s="1"/>
      <c r="Q35" s="1"/>
      <c r="R35" s="1"/>
      <c r="S35" s="1"/>
      <c r="T35" s="1"/>
    </row>
    <row r="36" spans="1:21" s="129" customFormat="1" x14ac:dyDescent="0.25">
      <c r="C36" s="1"/>
      <c r="E36" s="1"/>
      <c r="G36" s="1"/>
      <c r="I36" s="1"/>
      <c r="K36" s="1"/>
      <c r="Q36" s="1"/>
      <c r="R36" s="1"/>
      <c r="S36" s="1"/>
      <c r="T36" s="1"/>
      <c r="U36" s="1"/>
    </row>
    <row r="37" spans="1:21" x14ac:dyDescent="0.25">
      <c r="A37" s="129"/>
      <c r="B37" s="129"/>
      <c r="C37" s="1"/>
      <c r="D37" s="129"/>
      <c r="E37" s="1"/>
      <c r="F37" s="129"/>
      <c r="G37" s="1"/>
      <c r="H37" s="129"/>
      <c r="J37" s="129"/>
    </row>
    <row r="38" spans="1:21" x14ac:dyDescent="0.25">
      <c r="A38" s="129"/>
      <c r="B38" s="129"/>
      <c r="C38" s="129"/>
      <c r="D38" s="129"/>
      <c r="E38" s="129"/>
      <c r="F38" s="129"/>
      <c r="G38" s="129"/>
      <c r="H38" s="129"/>
      <c r="J38" s="129"/>
    </row>
    <row r="39" spans="1:21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</row>
    <row r="40" spans="1:21" x14ac:dyDescent="0.25"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21" x14ac:dyDescent="0.25">
      <c r="B41" s="129"/>
      <c r="C41" s="129"/>
      <c r="D41" s="129"/>
      <c r="E41" s="129"/>
      <c r="F41" s="129"/>
      <c r="G41" s="129"/>
      <c r="H41" s="129"/>
      <c r="I41" s="129"/>
    </row>
    <row r="42" spans="1:21" x14ac:dyDescent="0.25">
      <c r="B42" s="129"/>
      <c r="C42" s="129"/>
      <c r="D42" s="129"/>
      <c r="E42" s="129"/>
      <c r="F42" s="129"/>
    </row>
    <row r="43" spans="1:21" x14ac:dyDescent="0.25">
      <c r="B43" s="129"/>
      <c r="C43" s="129"/>
      <c r="D43" s="129"/>
      <c r="E43" s="129"/>
      <c r="F43" s="129"/>
    </row>
    <row r="44" spans="1:21" x14ac:dyDescent="0.25">
      <c r="I44" s="28"/>
    </row>
    <row r="45" spans="1:21" x14ac:dyDescent="0.25">
      <c r="I45" s="28"/>
    </row>
    <row r="46" spans="1:21" x14ac:dyDescent="0.25">
      <c r="I46" s="28"/>
    </row>
    <row r="47" spans="1:21" x14ac:dyDescent="0.25">
      <c r="I47" s="28"/>
    </row>
    <row r="48" spans="1:21" x14ac:dyDescent="0.25">
      <c r="I48" s="28"/>
    </row>
    <row r="49" spans="9:9" x14ac:dyDescent="0.25">
      <c r="I49" s="28"/>
    </row>
    <row r="50" spans="9:9" x14ac:dyDescent="0.25">
      <c r="I50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3" ht="18.75" x14ac:dyDescent="0.3">
      <c r="A2" s="151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23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3" x14ac:dyDescent="0.25">
      <c r="A4" s="152">
        <v>45535</v>
      </c>
      <c r="B4" s="152"/>
      <c r="C4" s="152"/>
      <c r="D4" s="152"/>
      <c r="E4" s="152"/>
      <c r="F4" s="152"/>
      <c r="G4" s="152"/>
      <c r="H4" s="152"/>
      <c r="I4" s="152"/>
    </row>
    <row r="5" spans="1:23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3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0"/>
      <c r="N7" s="130"/>
      <c r="O7" s="130"/>
      <c r="P7" s="130"/>
      <c r="Q7" s="130"/>
      <c r="R7" s="130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0</v>
      </c>
      <c r="E8" s="7">
        <v>3608.9</v>
      </c>
      <c r="F8" s="7">
        <v>0</v>
      </c>
      <c r="G8" s="7">
        <f t="shared" ref="G8:G17" si="0">SUM(E8:F8)</f>
        <v>3608.9</v>
      </c>
      <c r="H8" s="7">
        <f t="shared" ref="H8:H12" si="1">C8-G8</f>
        <v>69570661.179999992</v>
      </c>
      <c r="I8" s="37">
        <f>IF(C8=0,"NA",H8/C8)</f>
        <v>0.99994812881262207</v>
      </c>
      <c r="L8"/>
      <c r="M8" s="131"/>
      <c r="N8" s="131"/>
      <c r="O8" s="131"/>
      <c r="P8" s="131"/>
      <c r="Q8" s="131"/>
      <c r="R8" s="130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31"/>
      <c r="N9" s="131"/>
      <c r="O9" s="131"/>
      <c r="P9" s="131"/>
      <c r="Q9" s="131"/>
      <c r="R9" s="130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119888.00000000001</v>
      </c>
      <c r="F10" s="7">
        <v>0</v>
      </c>
      <c r="G10" s="7">
        <f t="shared" si="0"/>
        <v>119888.00000000001</v>
      </c>
      <c r="H10" s="7">
        <f t="shared" si="1"/>
        <v>-119888.00000000001</v>
      </c>
      <c r="I10" s="37" t="str">
        <f t="shared" si="2"/>
        <v>NA</v>
      </c>
      <c r="L10"/>
      <c r="M10" s="131"/>
      <c r="N10" s="131"/>
      <c r="O10" s="131"/>
      <c r="P10" s="131"/>
      <c r="Q10" s="131"/>
      <c r="R10" s="130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11794465</v>
      </c>
      <c r="C11" s="7">
        <v>16805190.230000004</v>
      </c>
      <c r="D11" s="7">
        <v>0</v>
      </c>
      <c r="E11" s="7">
        <v>3854.24</v>
      </c>
      <c r="F11" s="7">
        <v>0</v>
      </c>
      <c r="G11" s="7">
        <f t="shared" si="0"/>
        <v>3854.24</v>
      </c>
      <c r="H11" s="7">
        <f t="shared" si="1"/>
        <v>16801335.990000006</v>
      </c>
      <c r="I11" s="37">
        <f t="shared" si="2"/>
        <v>0.99977065180773028</v>
      </c>
      <c r="L11"/>
      <c r="M11" s="131"/>
      <c r="N11" s="131"/>
      <c r="O11" s="131"/>
      <c r="P11" s="131"/>
      <c r="Q11" s="131"/>
      <c r="R11" s="130"/>
      <c r="S11" s="130"/>
      <c r="T11" s="130"/>
      <c r="U11" s="130"/>
      <c r="V11" s="130"/>
      <c r="W11" s="130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31"/>
      <c r="N12" s="131"/>
      <c r="O12" s="131"/>
      <c r="P12" s="131"/>
      <c r="Q12" s="131"/>
      <c r="R12" s="130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86379460.310000002</v>
      </c>
      <c r="D13" s="11">
        <f t="shared" si="3"/>
        <v>0</v>
      </c>
      <c r="E13" s="11">
        <f t="shared" si="3"/>
        <v>127351.14000000001</v>
      </c>
      <c r="F13" s="11">
        <f t="shared" si="3"/>
        <v>0</v>
      </c>
      <c r="G13" s="11">
        <f t="shared" si="3"/>
        <v>127351.14000000001</v>
      </c>
      <c r="H13" s="11">
        <f t="shared" si="3"/>
        <v>86252109.170000002</v>
      </c>
      <c r="I13" s="34">
        <f t="shared" si="2"/>
        <v>0.99852567798475511</v>
      </c>
      <c r="L13" s="1"/>
      <c r="M13" s="1"/>
      <c r="N13" s="1"/>
      <c r="O13" s="1"/>
      <c r="P13" s="1"/>
      <c r="Q13" s="1"/>
      <c r="R13" s="1"/>
      <c r="S13" s="130"/>
      <c r="T13" s="130"/>
      <c r="U13" s="130"/>
      <c r="V13" s="130"/>
      <c r="W13" s="130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29</v>
      </c>
      <c r="B16" s="7">
        <v>84549893.730000004</v>
      </c>
      <c r="C16" s="7">
        <v>89560618.960000008</v>
      </c>
      <c r="D16" s="7">
        <v>1362748.3999999994</v>
      </c>
      <c r="E16" s="7">
        <v>3321112.5999999978</v>
      </c>
      <c r="F16" s="7">
        <v>9963720.9199999981</v>
      </c>
      <c r="G16" s="7">
        <f t="shared" si="0"/>
        <v>13284833.519999996</v>
      </c>
      <c r="H16" s="7">
        <f t="shared" si="4"/>
        <v>76275785.440000013</v>
      </c>
      <c r="I16" s="37">
        <f t="shared" si="2"/>
        <v>0.85166657316277228</v>
      </c>
      <c r="L16" s="1"/>
      <c r="M16" s="1"/>
      <c r="N16" s="1"/>
      <c r="O16" s="1"/>
      <c r="P16" s="1"/>
      <c r="Q16" s="1"/>
      <c r="R16" s="1"/>
      <c r="S16" s="1"/>
      <c r="T16" s="1"/>
      <c r="W16" s="130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89560618.960000008</v>
      </c>
      <c r="D18" s="11">
        <f t="shared" si="5"/>
        <v>1362748.3999999994</v>
      </c>
      <c r="E18" s="11">
        <f t="shared" si="5"/>
        <v>3321112.5999999978</v>
      </c>
      <c r="F18" s="11">
        <f t="shared" si="5"/>
        <v>9963720.9199999981</v>
      </c>
      <c r="G18" s="11">
        <f t="shared" si="5"/>
        <v>13284833.519999996</v>
      </c>
      <c r="H18" s="11">
        <f t="shared" ref="H18" si="6">SUM(H14:H17)</f>
        <v>76275785.440000013</v>
      </c>
      <c r="I18" s="34">
        <f t="shared" si="2"/>
        <v>0.85166657316277228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-1362748.3999999994</v>
      </c>
      <c r="E20" s="7">
        <f>E13-E18</f>
        <v>-3193761.4599999976</v>
      </c>
      <c r="F20" s="7"/>
      <c r="G20" s="7">
        <f>G13-G18</f>
        <v>-13157482.379999995</v>
      </c>
      <c r="H20" s="7">
        <f>H13-H18</f>
        <v>9976323.7299999893</v>
      </c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29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5">
        <v>33374175.299999885</v>
      </c>
      <c r="F22" s="20"/>
      <c r="G22" s="20">
        <f>E22</f>
        <v>33374175.299999885</v>
      </c>
      <c r="H22" s="20"/>
      <c r="I22" s="21"/>
      <c r="L22" s="129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30180413.839999888</v>
      </c>
      <c r="F23" s="9"/>
      <c r="G23" s="9">
        <f>SUM(G20:G22)</f>
        <v>20216692.91999989</v>
      </c>
      <c r="H23" s="9"/>
      <c r="I23" s="17"/>
      <c r="L23" s="129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6384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6384" x14ac:dyDescent="0.25">
      <c r="B29" s="129"/>
      <c r="C29" s="129"/>
      <c r="D29" s="129"/>
      <c r="E29" s="129"/>
      <c r="F29" s="129"/>
      <c r="G29" s="129"/>
      <c r="H29" s="129"/>
    </row>
    <row r="30" spans="1:16384" x14ac:dyDescent="0.25">
      <c r="B30" s="129"/>
      <c r="C30" s="129"/>
      <c r="D30" s="129"/>
      <c r="E30" s="129"/>
      <c r="F30" s="129"/>
      <c r="G30" s="129"/>
      <c r="H30" s="129"/>
      <c r="J30" s="129"/>
    </row>
    <row r="31" spans="1:16384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6384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2:11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2024-09-11T18:37:57Z</cp:lastPrinted>
  <dcterms:created xsi:type="dcterms:W3CDTF">2020-01-29T12:55:36Z</dcterms:created>
  <dcterms:modified xsi:type="dcterms:W3CDTF">2024-09-11T18:44:04Z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