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FINANCE\BOARD FINANCIAL REPORTS\~WorkFolder\~FY2025\2024_09\~Version 2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4)" sheetId="10" state="hidden" r:id="rId2"/>
    <sheet name="Budget vs Actual (2024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5" l="1"/>
  <c r="G16" i="5"/>
  <c r="G17" i="5"/>
  <c r="G14" i="5"/>
  <c r="F42" i="10" l="1"/>
  <c r="F40" i="10"/>
  <c r="G20" i="10"/>
  <c r="G19" i="10"/>
  <c r="G17" i="10"/>
  <c r="G16" i="10"/>
  <c r="G14" i="10"/>
  <c r="G13" i="10"/>
  <c r="G11" i="10"/>
  <c r="G10" i="10"/>
  <c r="G9" i="10"/>
  <c r="F22" i="4" l="1"/>
  <c r="F30" i="1"/>
  <c r="F18" i="5" l="1"/>
  <c r="F20" i="10" l="1"/>
  <c r="F19" i="10"/>
  <c r="F16" i="10"/>
  <c r="F15" i="10"/>
  <c r="F13" i="10"/>
  <c r="F10" i="10"/>
  <c r="F9" i="10"/>
  <c r="D44" i="10" l="1"/>
  <c r="G15" i="4" l="1"/>
  <c r="H15" i="4" s="1"/>
  <c r="I15" i="4" s="1"/>
  <c r="C13" i="1" l="1"/>
  <c r="E18" i="10"/>
  <c r="T18" i="10" s="1"/>
  <c r="Q25" i="10"/>
  <c r="G14" i="1"/>
  <c r="G15" i="1"/>
  <c r="G16" i="1"/>
  <c r="G17" i="1"/>
  <c r="G18" i="1"/>
  <c r="G19" i="1"/>
  <c r="G20" i="1"/>
  <c r="G21" i="1"/>
  <c r="G22" i="1"/>
  <c r="G23" i="1"/>
  <c r="H23" i="1" s="1"/>
  <c r="G24" i="1"/>
  <c r="G25" i="1"/>
  <c r="G26" i="1"/>
  <c r="G27" i="1"/>
  <c r="G28" i="1"/>
  <c r="G29" i="1"/>
  <c r="I23" i="1"/>
  <c r="S25" i="10" l="1"/>
  <c r="G8" i="1"/>
  <c r="G9" i="1"/>
  <c r="G10" i="1"/>
  <c r="G11" i="1"/>
  <c r="G12" i="1"/>
  <c r="G12" i="5" l="1"/>
  <c r="G11" i="5"/>
  <c r="G10" i="5"/>
  <c r="G9" i="5"/>
  <c r="G8" i="5"/>
  <c r="F47" i="10" l="1"/>
  <c r="G47" i="10"/>
  <c r="H47" i="10"/>
  <c r="I47" i="10"/>
  <c r="J47" i="10"/>
  <c r="K47" i="10"/>
  <c r="L47" i="10"/>
  <c r="M47" i="10"/>
  <c r="N47" i="10"/>
  <c r="O47" i="10"/>
  <c r="P47" i="10"/>
  <c r="F48" i="10"/>
  <c r="G48" i="10"/>
  <c r="H48" i="10"/>
  <c r="I48" i="10"/>
  <c r="J48" i="10"/>
  <c r="K48" i="10"/>
  <c r="L48" i="10"/>
  <c r="M48" i="10"/>
  <c r="N48" i="10"/>
  <c r="O48" i="10"/>
  <c r="P48" i="10"/>
  <c r="E47" i="10"/>
  <c r="I8" i="3" l="1"/>
  <c r="G30" i="2"/>
  <c r="H30" i="2" s="1"/>
  <c r="I30" i="2" s="1"/>
  <c r="B47" i="10"/>
  <c r="C43" i="10"/>
  <c r="D43" i="10" s="1"/>
  <c r="M45" i="10"/>
  <c r="H11" i="1"/>
  <c r="I11" i="1" s="1"/>
  <c r="T43" i="10" l="1"/>
  <c r="C13" i="3" l="1"/>
  <c r="D13" i="3"/>
  <c r="E13" i="3"/>
  <c r="F13" i="3"/>
  <c r="B13" i="3"/>
  <c r="C10" i="3"/>
  <c r="D10" i="3"/>
  <c r="E10" i="3"/>
  <c r="F10" i="3"/>
  <c r="G10" i="3"/>
  <c r="H10" i="3"/>
  <c r="G14" i="4" l="1"/>
  <c r="H14" i="4" s="1"/>
  <c r="I14" i="4" s="1"/>
  <c r="H25" i="10" l="1"/>
  <c r="G21" i="4" l="1"/>
  <c r="H21" i="4" s="1"/>
  <c r="G20" i="4"/>
  <c r="H20" i="4" s="1"/>
  <c r="G19" i="4"/>
  <c r="H19" i="4" s="1"/>
  <c r="G18" i="4"/>
  <c r="H18" i="4" s="1"/>
  <c r="I18" i="4" s="1"/>
  <c r="G17" i="4"/>
  <c r="H17" i="4" s="1"/>
  <c r="G16" i="4"/>
  <c r="H16" i="4" s="1"/>
  <c r="I19" i="4" l="1"/>
  <c r="I20" i="4"/>
  <c r="H29" i="1" l="1"/>
  <c r="I29" i="1" s="1"/>
  <c r="C40" i="10" l="1"/>
  <c r="C41" i="10"/>
  <c r="C42" i="10"/>
  <c r="C48" i="10" s="1"/>
  <c r="C44" i="10"/>
  <c r="G11" i="3"/>
  <c r="G13" i="3" s="1"/>
  <c r="G12" i="3"/>
  <c r="C47" i="10" l="1"/>
  <c r="C49" i="10" s="1"/>
  <c r="G8" i="4" l="1"/>
  <c r="G9" i="4"/>
  <c r="G10" i="4"/>
  <c r="G11" i="4"/>
  <c r="E36" i="1" l="1"/>
  <c r="G36" i="1" s="1"/>
  <c r="G35" i="1"/>
  <c r="H66" i="10" l="1"/>
  <c r="F25" i="10"/>
  <c r="E21" i="10"/>
  <c r="T21" i="10" s="1"/>
  <c r="E22" i="10"/>
  <c r="T22" i="10" s="1"/>
  <c r="E23" i="10"/>
  <c r="T23" i="10" s="1"/>
  <c r="E24" i="10"/>
  <c r="T24" i="10" s="1"/>
  <c r="H28" i="1" l="1"/>
  <c r="I28" i="1" s="1"/>
  <c r="G13" i="4" l="1"/>
  <c r="C30" i="1" l="1"/>
  <c r="D30" i="1"/>
  <c r="E30" i="1"/>
  <c r="B30" i="1"/>
  <c r="G30" i="1" l="1"/>
  <c r="U25" i="10"/>
  <c r="C12" i="4" l="1"/>
  <c r="D12" i="4"/>
  <c r="E12" i="4"/>
  <c r="F12" i="4"/>
  <c r="B12" i="4"/>
  <c r="I16" i="4"/>
  <c r="E16" i="10"/>
  <c r="T16" i="10" s="1"/>
  <c r="E13" i="10"/>
  <c r="T13" i="10" s="1"/>
  <c r="I11" i="3"/>
  <c r="H11" i="3"/>
  <c r="H13" i="3" s="1"/>
  <c r="G9" i="3"/>
  <c r="H9" i="3" s="1"/>
  <c r="I9" i="3" s="1"/>
  <c r="G8" i="3"/>
  <c r="H8" i="3" s="1"/>
  <c r="H12" i="3"/>
  <c r="I12" i="3" s="1"/>
  <c r="B48" i="10"/>
  <c r="E20" i="10"/>
  <c r="T20" i="10" s="1"/>
  <c r="H14" i="1"/>
  <c r="I14" i="1" s="1"/>
  <c r="H15" i="1"/>
  <c r="I15" i="1" s="1"/>
  <c r="H16" i="1"/>
  <c r="I16" i="1" s="1"/>
  <c r="H17" i="1"/>
  <c r="I17" i="1" s="1"/>
  <c r="H18" i="1"/>
  <c r="H19" i="1"/>
  <c r="I19" i="1" s="1"/>
  <c r="H20" i="1"/>
  <c r="I20" i="1" s="1"/>
  <c r="H21" i="1"/>
  <c r="I21" i="1" s="1"/>
  <c r="H22" i="1"/>
  <c r="I22" i="1" s="1"/>
  <c r="H24" i="1"/>
  <c r="I24" i="1" s="1"/>
  <c r="H27" i="1"/>
  <c r="I27" i="1" s="1"/>
  <c r="H26" i="1"/>
  <c r="I26" i="1" s="1"/>
  <c r="H25" i="1"/>
  <c r="I25" i="1" s="1"/>
  <c r="B13" i="1"/>
  <c r="D13" i="1"/>
  <c r="E13" i="1"/>
  <c r="F13" i="1"/>
  <c r="B67" i="10"/>
  <c r="E48" i="10"/>
  <c r="E52" i="10"/>
  <c r="P45" i="10"/>
  <c r="O45" i="10"/>
  <c r="N45" i="10"/>
  <c r="L45" i="10"/>
  <c r="K45" i="10"/>
  <c r="J45" i="10"/>
  <c r="I45" i="10"/>
  <c r="H45" i="10"/>
  <c r="G45" i="10"/>
  <c r="F45" i="10"/>
  <c r="E45" i="10"/>
  <c r="B45" i="10"/>
  <c r="T44" i="10"/>
  <c r="T42" i="10"/>
  <c r="T41" i="10"/>
  <c r="T40" i="10"/>
  <c r="P25" i="10"/>
  <c r="O25" i="10"/>
  <c r="N25" i="10"/>
  <c r="M25" i="10"/>
  <c r="E15" i="10"/>
  <c r="T15" i="10" s="1"/>
  <c r="E14" i="10"/>
  <c r="T14" i="10" s="1"/>
  <c r="E12" i="10"/>
  <c r="T12" i="10" s="1"/>
  <c r="E10" i="10"/>
  <c r="T10" i="10" s="1"/>
  <c r="G22" i="5"/>
  <c r="G26" i="4"/>
  <c r="G17" i="3"/>
  <c r="G37" i="2"/>
  <c r="G34" i="1"/>
  <c r="C18" i="5"/>
  <c r="D18" i="5"/>
  <c r="E18" i="5"/>
  <c r="B18" i="5"/>
  <c r="B22" i="4"/>
  <c r="C22" i="4"/>
  <c r="D22" i="4"/>
  <c r="E22" i="4"/>
  <c r="I15" i="5"/>
  <c r="I10" i="4"/>
  <c r="H8" i="1"/>
  <c r="I8" i="1" s="1"/>
  <c r="H9" i="1"/>
  <c r="I9" i="1" s="1"/>
  <c r="H10" i="1"/>
  <c r="I10" i="1" s="1"/>
  <c r="G31" i="2"/>
  <c r="H31" i="2" s="1"/>
  <c r="I31" i="2" s="1"/>
  <c r="H17" i="5"/>
  <c r="H16" i="5"/>
  <c r="I16" i="5" s="1"/>
  <c r="H15" i="5"/>
  <c r="H14" i="5"/>
  <c r="I14" i="5" s="1"/>
  <c r="B10" i="3"/>
  <c r="B13" i="5"/>
  <c r="C13" i="5"/>
  <c r="D13" i="5"/>
  <c r="E13" i="5"/>
  <c r="F13" i="5"/>
  <c r="B13" i="2"/>
  <c r="C13" i="2"/>
  <c r="D13" i="2"/>
  <c r="E13" i="2"/>
  <c r="F13" i="2"/>
  <c r="I17" i="5"/>
  <c r="H12" i="5"/>
  <c r="I12" i="5" s="1"/>
  <c r="H11" i="5"/>
  <c r="I11" i="5" s="1"/>
  <c r="H10" i="5"/>
  <c r="I10" i="5" s="1"/>
  <c r="H9" i="5"/>
  <c r="I9" i="5" s="1"/>
  <c r="H8" i="5"/>
  <c r="I21" i="4"/>
  <c r="H13" i="4"/>
  <c r="I13" i="4" s="1"/>
  <c r="H11" i="4"/>
  <c r="I11" i="4"/>
  <c r="H10" i="4"/>
  <c r="H9" i="4"/>
  <c r="I9" i="4" s="1"/>
  <c r="H8" i="4"/>
  <c r="F33" i="2"/>
  <c r="E33" i="2"/>
  <c r="D33" i="2"/>
  <c r="C33" i="2"/>
  <c r="B33" i="2"/>
  <c r="G32" i="2"/>
  <c r="H32" i="2" s="1"/>
  <c r="I32" i="2" s="1"/>
  <c r="G29" i="2"/>
  <c r="H29" i="2" s="1"/>
  <c r="I29" i="2" s="1"/>
  <c r="G19" i="2"/>
  <c r="H19" i="2" s="1"/>
  <c r="I1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I14" i="2" s="1"/>
  <c r="G12" i="2"/>
  <c r="G11" i="2"/>
  <c r="G10" i="2"/>
  <c r="G9" i="2"/>
  <c r="G8" i="2"/>
  <c r="N49" i="10" l="1"/>
  <c r="H10" i="2"/>
  <c r="I10" i="2" s="1"/>
  <c r="H9" i="2"/>
  <c r="I9" i="2" s="1"/>
  <c r="H11" i="2"/>
  <c r="I11" i="2" s="1"/>
  <c r="H12" i="2"/>
  <c r="I12" i="2" s="1"/>
  <c r="E49" i="10"/>
  <c r="E11" i="10"/>
  <c r="T11" i="10" s="1"/>
  <c r="J25" i="10"/>
  <c r="O49" i="10"/>
  <c r="G49" i="10"/>
  <c r="B49" i="10"/>
  <c r="I49" i="10"/>
  <c r="E19" i="10"/>
  <c r="T19" i="10" s="1"/>
  <c r="H49" i="10"/>
  <c r="L49" i="10"/>
  <c r="J49" i="10"/>
  <c r="M49" i="10"/>
  <c r="F49" i="10"/>
  <c r="E53" i="10"/>
  <c r="F53" i="10" s="1"/>
  <c r="G53" i="10" s="1"/>
  <c r="H53" i="10" s="1"/>
  <c r="I53" i="10" s="1"/>
  <c r="J53" i="10" s="1"/>
  <c r="K53" i="10" s="1"/>
  <c r="L53" i="10" s="1"/>
  <c r="M53" i="10" s="1"/>
  <c r="N53" i="10" s="1"/>
  <c r="O53" i="10" s="1"/>
  <c r="P53" i="10" s="1"/>
  <c r="B20" i="5"/>
  <c r="K49" i="10"/>
  <c r="E9" i="10"/>
  <c r="T9" i="10" s="1"/>
  <c r="L25" i="10"/>
  <c r="P49" i="10"/>
  <c r="E17" i="10"/>
  <c r="T17" i="10" s="1"/>
  <c r="E32" i="1"/>
  <c r="E37" i="1" s="1"/>
  <c r="E20" i="5"/>
  <c r="E23" i="5" s="1"/>
  <c r="D40" i="10"/>
  <c r="D41" i="10"/>
  <c r="D42" i="10"/>
  <c r="D48" i="10"/>
  <c r="B57" i="10" s="1"/>
  <c r="D20" i="5"/>
  <c r="C20" i="5"/>
  <c r="C24" i="4"/>
  <c r="D35" i="2"/>
  <c r="C35" i="2"/>
  <c r="B32" i="1"/>
  <c r="E15" i="3"/>
  <c r="E18" i="3" s="1"/>
  <c r="D15" i="3"/>
  <c r="B35" i="2"/>
  <c r="D32" i="1"/>
  <c r="C32" i="1"/>
  <c r="G13" i="1"/>
  <c r="G13" i="5"/>
  <c r="B24" i="4"/>
  <c r="H18" i="5"/>
  <c r="I18" i="5" s="1"/>
  <c r="G18" i="5"/>
  <c r="G12" i="4"/>
  <c r="E24" i="4"/>
  <c r="E27" i="4" s="1"/>
  <c r="D24" i="4"/>
  <c r="B15" i="3"/>
  <c r="C15" i="3"/>
  <c r="I13" i="3"/>
  <c r="G33" i="2"/>
  <c r="G13" i="2"/>
  <c r="E35" i="2"/>
  <c r="E38" i="2" s="1"/>
  <c r="H12" i="1"/>
  <c r="H33" i="2"/>
  <c r="I33" i="2" s="1"/>
  <c r="I8" i="5"/>
  <c r="H13" i="5"/>
  <c r="H12" i="4"/>
  <c r="I8" i="4"/>
  <c r="I18" i="1"/>
  <c r="H30" i="1"/>
  <c r="I30" i="1" s="1"/>
  <c r="I17" i="4"/>
  <c r="H22" i="4"/>
  <c r="I22" i="4" s="1"/>
  <c r="F52" i="10"/>
  <c r="G22" i="4"/>
  <c r="G25" i="10"/>
  <c r="C45" i="10"/>
  <c r="D45" i="10" s="1"/>
  <c r="H8" i="2"/>
  <c r="I8" i="2" s="1"/>
  <c r="I25" i="10"/>
  <c r="K25" i="10"/>
  <c r="E54" i="10" l="1"/>
  <c r="D49" i="10"/>
  <c r="B58" i="10" s="1"/>
  <c r="E25" i="10"/>
  <c r="T25" i="10"/>
  <c r="C6" i="10"/>
  <c r="G32" i="1"/>
  <c r="G37" i="1" s="1"/>
  <c r="G35" i="2"/>
  <c r="G38" i="2" s="1"/>
  <c r="G20" i="5"/>
  <c r="G23" i="5" s="1"/>
  <c r="G15" i="3"/>
  <c r="G18" i="3" s="1"/>
  <c r="H13" i="1"/>
  <c r="I13" i="1" s="1"/>
  <c r="I12" i="1"/>
  <c r="G24" i="4"/>
  <c r="G27" i="4" s="1"/>
  <c r="H13" i="2"/>
  <c r="H20" i="5"/>
  <c r="I13" i="5"/>
  <c r="G52" i="10"/>
  <c r="F54" i="10"/>
  <c r="D47" i="10"/>
  <c r="B56" i="10" s="1"/>
  <c r="I12" i="4"/>
  <c r="H24" i="4"/>
  <c r="I10" i="3"/>
  <c r="H15" i="3"/>
  <c r="B16" i="10" l="1"/>
  <c r="C16" i="10" s="1"/>
  <c r="B29" i="10"/>
  <c r="B15" i="10"/>
  <c r="C15" i="10" s="1"/>
  <c r="I13" i="2"/>
  <c r="H35" i="2"/>
  <c r="G54" i="10"/>
  <c r="H52" i="10"/>
  <c r="H54" i="10" l="1"/>
  <c r="I52" i="10"/>
  <c r="I54" i="10" l="1"/>
  <c r="J52" i="10"/>
  <c r="K52" i="10" l="1"/>
  <c r="J54" i="10"/>
  <c r="K54" i="10" l="1"/>
  <c r="L52" i="10"/>
  <c r="M52" i="10" l="1"/>
  <c r="L54" i="10"/>
  <c r="M54" i="10" l="1"/>
  <c r="N52" i="10"/>
  <c r="O52" i="10" l="1"/>
  <c r="N54" i="10"/>
  <c r="O54" i="10" l="1"/>
  <c r="P52" i="10"/>
  <c r="P54" i="10" s="1"/>
</calcChain>
</file>

<file path=xl/sharedStrings.xml><?xml version="1.0" encoding="utf-8"?>
<sst xmlns="http://schemas.openxmlformats.org/spreadsheetml/2006/main" count="294" uniqueCount="85">
  <si>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</si>
  <si>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</si>
  <si>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</si>
  <si>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</si>
  <si>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</si>
  <si>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</si>
  <si>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</si>
  <si>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</si>
  <si>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</si>
  <si>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</si>
  <si>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</si>
  <si>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</si>
  <si>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</si>
  <si>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</si>
  <si>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</si>
  <si>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</si>
  <si>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</si>
  <si>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</si>
  <si>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</si>
  <si>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</si>
  <si>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</si>
  <si>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</si>
  <si>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</si>
  <si>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</si>
  <si>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</si>
  <si>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</si>
  <si>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</si>
  <si>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</si>
  <si>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</si>
  <si>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SCHOOL NUTRITION PROGRAM</t>
  </si>
  <si>
    <t xml:space="preserve">   ENTERPRISE OPERATIONS</t>
  </si>
  <si>
    <t>% of REMAINING BUDGET</t>
  </si>
  <si>
    <t>Description</t>
  </si>
  <si>
    <t>AMENDED BUDGET</t>
  </si>
  <si>
    <t>ORIGINAL BUDGET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</si>
  <si>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</si>
  <si>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</si>
  <si>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</si>
  <si>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</si>
  <si>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</si>
  <si>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</si>
  <si>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</si>
  <si>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</si>
  <si>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</si>
  <si>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</si>
  <si>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</si>
  <si>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</si>
  <si>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</si>
  <si>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</si>
  <si>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</si>
  <si>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</si>
  <si>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</si>
  <si>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</si>
  <si>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</si>
  <si>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</si>
  <si>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</si>
  <si>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</si>
  <si>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</si>
  <si>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</si>
  <si>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</si>
  <si>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</si>
  <si>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</si>
  <si>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</si>
  <si>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</si>
  <si>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</si>
  <si>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</si>
  <si>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</si>
  <si>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BEGINNING BALANCE (Estimated)</t>
  </si>
  <si>
    <t>ASSIGNED BALANCE (Gold Case)</t>
  </si>
  <si>
    <t>UNASSIGNED STARTING BALANCE (Estimated)</t>
  </si>
  <si>
    <t xml:space="preserve">   MAINTENANCE AND OPERATION OF PLANT SERVICES</t>
  </si>
  <si>
    <t xml:space="preserve">   FEDERAL GRANT ADMINISTRATION</t>
  </si>
  <si>
    <t xml:space="preserve">   COMMUNITY SERVICES OPERATIONS</t>
  </si>
  <si>
    <t xml:space="preserve">   FACILITIES ACQUISITION AND CONSTRUCTION SERVICES</t>
  </si>
  <si>
    <t xml:space="preserve">   FEDERAL SOURCES</t>
  </si>
  <si>
    <t>FY2024 BUDGET CHARTS</t>
  </si>
  <si>
    <t xml:space="preserve">   SCHOOL SAFETY AND SECURITY</t>
  </si>
  <si>
    <t>FY2025 GENERAL FUND (ROLLUP)</t>
  </si>
  <si>
    <t>FY2025 SPECIAL REVENUE (ROLLUP)</t>
  </si>
  <si>
    <t>FY2025 DEBT SERVICE (ROLLUP)</t>
  </si>
  <si>
    <t>FY2025 CAPITAL PROJECTS (ROLLUP)</t>
  </si>
  <si>
    <t>FY2025 SCHOOL NUTRITION (ROLLUP)</t>
  </si>
  <si>
    <t>TOTAL GENERAL OPERATIONS BUDGET
$1,610,226,972</t>
  </si>
  <si>
    <t>GENERAL OPERATIONS YTD EXPENSES
$276,379,823</t>
  </si>
  <si>
    <t>(LOCAL &amp; OTHER)  Budgeted: $986,923,398  Actual: $154,038,304  15.61%
(STATE)  Budgeted: $560,327,715  Actual: $61,686,290   11.01%
TOTAL Budgeted: $1,547,251,113  Actual: $215,724,594   13.94%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</si>
</sst>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16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  <font>
      <sz val="11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5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40" fontId="6" fillId="0" borderId="0" xfId="2" applyNumberFormat="1" applyAlignment="1">
      <alignment vertical="top" wrapText="1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38" fontId="0" fillId="0" borderId="0" xfId="0" applyNumberFormat="1"/>
    <xf numFmtId="40" fontId="11" fillId="0" borderId="0" xfId="2" applyNumberFormat="1" applyFont="1" applyAlignment="1">
      <alignment vertical="top"/>
    </xf>
    <xf numFmtId="40" fontId="3" fillId="0" borderId="0" xfId="0" applyNumberFormat="1" applyFont="1" applyFill="1"/>
    <xf numFmtId="38" fontId="15" fillId="0" borderId="33" xfId="2" applyNumberFormat="1" applyFont="1" applyFill="1" applyBorder="1" applyAlignment="1">
      <alignment horizontal="center" vertical="center" wrapText="1"/>
    </xf>
    <xf numFmtId="38" fontId="15" fillId="0" borderId="22" xfId="2" applyNumberFormat="1" applyFont="1" applyFill="1" applyBorder="1" applyAlignment="1">
      <alignment horizontal="center" vertical="center" wrapText="1"/>
    </xf>
    <xf numFmtId="38" fontId="15" fillId="0" borderId="39" xfId="2" applyNumberFormat="1" applyFont="1" applyFill="1" applyBorder="1" applyAlignment="1">
      <alignment horizontal="center" vertical="center" wrapText="1"/>
    </xf>
    <xf numFmtId="38" fontId="6" fillId="0" borderId="0" xfId="2" applyNumberFormat="1" applyAlignment="1">
      <alignment horizontal="center" vertical="top"/>
    </xf>
    <xf numFmtId="38" fontId="3" fillId="17" borderId="10" xfId="0" applyNumberFormat="1" applyFont="1" applyFill="1" applyBorder="1" applyAlignment="1">
      <alignment vertical="center"/>
    </xf>
    <xf numFmtId="38" fontId="0" fillId="0" borderId="36" xfId="0" applyNumberFormat="1" applyBorder="1"/>
    <xf numFmtId="38" fontId="0" fillId="0" borderId="5" xfId="0" applyNumberFormat="1" applyBorder="1"/>
    <xf numFmtId="38" fontId="0" fillId="0" borderId="8" xfId="0" applyNumberFormat="1" applyBorder="1"/>
    <xf numFmtId="0" fontId="3" fillId="0" borderId="22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FY2025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2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6.2970012399402933E-3"/>
                  <c:y val="-6.4307374391939481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6520980263625521"/>
                      <c:h val="8.078455846916095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3.4403472885849148E-2"/>
                  <c:y val="7.8113287358233486E-3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5704652013784135"/>
                      <c:h val="9.5730834174129822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(2024)'!$B$15:$B$16</c:f>
              <c:numCache>
                <c:formatCode>"$"#,##0_);\("$"#,##0\)</c:formatCode>
                <c:ptCount val="2"/>
                <c:pt idx="0">
                  <c:v>1333847148.8999896</c:v>
                </c:pt>
                <c:pt idx="1">
                  <c:v>276379823.04000044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ser>
          <c:idx val="1"/>
          <c:order val="1"/>
          <c:cat>
            <c:strRef>
              <c:f>'DATA for CHARTS (2024)'!$B$27</c:f>
              <c:strCache>
                <c:ptCount val="1"/>
                <c:pt idx="0">
                  <c:v>TOTAL GENERAL OPERATIONS BUDGET
$1,610,226,972</c:v>
                </c:pt>
              </c:strCache>
            </c:strRef>
          </c:cat>
          <c:val>
            <c:numRef>
              <c:f>'DATA for CHARTS (2024)'!$C$27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cat>
            <c:strRef>
              <c:f>'DATA for CHARTS (2024)'!$B$27</c:f>
              <c:strCache>
                <c:ptCount val="1"/>
                <c:pt idx="0">
                  <c:v>TOTAL GENERAL OPERATIONS BUDGET
$1,610,226,972</c:v>
                </c:pt>
              </c:strCache>
            </c:strRef>
          </c:cat>
          <c:val>
            <c:numRef>
              <c:f>'DATA for CHARTS (2024)'!$D$27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cat>
            <c:strRef>
              <c:f>'DATA for CHARTS (2024)'!$B$27</c:f>
              <c:strCache>
                <c:ptCount val="1"/>
                <c:pt idx="0">
                  <c:v>TOTAL GENERAL OPERATIONS BUDGET
$1,610,226,972</c:v>
                </c:pt>
              </c:strCache>
            </c:strRef>
          </c:cat>
          <c:val>
            <c:numRef>
              <c:f>'DATA for CHARTS (2024)'!$E$27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cat>
            <c:strRef>
              <c:f>'DATA for CHARTS (2024)'!$B$27</c:f>
              <c:strCache>
                <c:ptCount val="1"/>
                <c:pt idx="0">
                  <c:v>TOTAL GENERAL OPERATIONS BUDGET
$1,610,226,972</c:v>
                </c:pt>
              </c:strCache>
            </c:strRef>
          </c:cat>
          <c:val>
            <c:numRef>
              <c:f>'DATA for CHARTS (2024)'!$F$27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819587371036997"/>
          <c:y val="0.9261519258573524"/>
          <c:w val="0.33272226127200499"/>
          <c:h val="3.39785806040817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FY2025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3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061212508917829"/>
          <c:y val="0.25536608452345044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1.9846679145046689E-2"/>
                  <c:y val="-0.1037852831143795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6.8489141966582165E-2"/>
                  <c:y val="-0.2190603882572802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5.8336505823165755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8.0909394851220229E-2"/>
                  <c:y val="-0.1077459373060533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257912846149998"/>
                      <c:h val="8.3252928918891744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0507322492411628"/>
                  <c:y val="-3.047323840134262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3591746367711076E-3"/>
                  <c:y val="2.350860039456758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3584085590103649E-2"/>
                  <c:y val="7.041471203153766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205564199159159"/>
                      <c:h val="5.4246733028912995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5.1778169153128627E-2"/>
                  <c:y val="5.223076309648863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165643913367397"/>
                      <c:h val="5.925006200741127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0.13749726870901419"/>
                  <c:y val="7.241820003675233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5.1706405305154308E-2"/>
                  <c:y val="1.876803378441631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005386237452515"/>
                      <c:h val="6.8548878498791321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4.9028871391076118E-2"/>
                  <c:y val="0.1470338433587478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83550651955867"/>
                      <c:h val="5.044473800088066E-2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-4.797415869656213E-2"/>
                  <c:y val="8.3296476976045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7.093058703670066E-2"/>
                  <c:y val="4.164567275854058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0.12684252231760901"/>
                  <c:y val="-5.896406938564647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0.10085648020176013"/>
                  <c:y val="-0.1467034883519348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4"/>
              <c:layout>
                <c:manualLayout>
                  <c:x val="-0.12537928746870533"/>
                  <c:y val="-6.0689903854488467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3.0659642970907473E-2"/>
                  <c:y val="-4.730040184871214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109800620.3600004</c:v>
                </c:pt>
                <c:pt idx="1">
                  <c:v>12375902.139999991</c:v>
                </c:pt>
                <c:pt idx="2">
                  <c:v>4063755.6399999997</c:v>
                </c:pt>
                <c:pt idx="3">
                  <c:v>101972.47999999998</c:v>
                </c:pt>
                <c:pt idx="4">
                  <c:v>2884799.919999999</c:v>
                </c:pt>
                <c:pt idx="5">
                  <c:v>27931867.100000009</c:v>
                </c:pt>
                <c:pt idx="6">
                  <c:v>19285171.800000004</c:v>
                </c:pt>
                <c:pt idx="7">
                  <c:v>4167765.7999999989</c:v>
                </c:pt>
                <c:pt idx="8">
                  <c:v>48929050.940000035</c:v>
                </c:pt>
                <c:pt idx="9">
                  <c:v>46224.369999999995</c:v>
                </c:pt>
                <c:pt idx="10">
                  <c:v>12093406.74</c:v>
                </c:pt>
                <c:pt idx="11">
                  <c:v>13203162.840000004</c:v>
                </c:pt>
                <c:pt idx="12">
                  <c:v>369845.62</c:v>
                </c:pt>
                <c:pt idx="13">
                  <c:v>0</c:v>
                </c:pt>
                <c:pt idx="14">
                  <c:v>126277.28999999998</c:v>
                </c:pt>
                <c:pt idx="15">
                  <c:v>21000000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ser>
          <c:idx val="29"/>
          <c:order val="2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30"/>
          <c:order val="3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$1,610,226,972</c:v>
                </c:pt>
              </c:strCache>
            </c:strRef>
          </c:cat>
          <c:val>
            <c:numRef>
              <c:f>'DATA for CHARTS (2024)'!$C$27</c:f>
              <c:numCache>
                <c:formatCode>General</c:formatCode>
                <c:ptCount val="1"/>
              </c:numCache>
            </c:numRef>
          </c:val>
        </c:ser>
        <c:ser>
          <c:idx val="31"/>
          <c:order val="3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$1,610,226,972</c:v>
                </c:pt>
              </c:strCache>
            </c:strRef>
          </c:cat>
          <c:val>
            <c:numRef>
              <c:f>'DATA for CHARTS (2024)'!$D$27</c:f>
              <c:numCache>
                <c:formatCode>General</c:formatCode>
                <c:ptCount val="1"/>
              </c:numCache>
            </c:numRef>
          </c:val>
        </c:ser>
        <c:ser>
          <c:idx val="32"/>
          <c:order val="3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$1,610,226,972</c:v>
                </c:pt>
              </c:strCache>
            </c:strRef>
          </c:cat>
          <c:val>
            <c:numRef>
              <c:f>'DATA for CHARTS (2024)'!$E$27</c:f>
              <c:numCache>
                <c:formatCode>General</c:formatCode>
                <c:ptCount val="1"/>
              </c:numCache>
            </c:numRef>
          </c:val>
        </c:ser>
        <c:ser>
          <c:idx val="33"/>
          <c:order val="3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$1,610,226,972</c:v>
                </c:pt>
              </c:strCache>
            </c:strRef>
          </c:cat>
          <c:val>
            <c:numRef>
              <c:f>'DATA for CHARTS (2024)'!$F$27</c:f>
              <c:numCache>
                <c:formatCode>General</c:formatCode>
                <c:ptCount val="1"/>
              </c:numCache>
            </c:numRef>
          </c:val>
        </c:ser>
        <c:ser>
          <c:idx val="34"/>
          <c:order val="3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(2024)'!$I$29</c:f>
              <c:numCache>
                <c:formatCode>#,##0_);[Red]\(#,##0\)</c:formatCode>
                <c:ptCount val="1"/>
              </c:numCache>
            </c:numRef>
          </c:val>
        </c:ser>
        <c:ser>
          <c:idx val="35"/>
          <c:order val="3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(2024)'!$J$29</c:f>
              <c:numCache>
                <c:formatCode>#,##0_);[Red]\(#,##0\)</c:formatCode>
                <c:ptCount val="1"/>
              </c:numCache>
            </c:numRef>
          </c:val>
        </c:ser>
        <c:ser>
          <c:idx val="36"/>
          <c:order val="3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(2024)'!$K$29</c:f>
              <c:numCache>
                <c:formatCode>#,##0_);[Red]\(#,##0\)</c:formatCode>
                <c:ptCount val="1"/>
              </c:numCache>
            </c:numRef>
          </c:val>
        </c:ser>
        <c:ser>
          <c:idx val="37"/>
          <c:order val="3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(2024)'!$L$29</c:f>
              <c:numCache>
                <c:formatCode>#,##0_);[Red]\(#,##0\)</c:formatCode>
                <c:ptCount val="1"/>
              </c:numCache>
            </c:numRef>
          </c:val>
        </c:ser>
        <c:ser>
          <c:idx val="38"/>
          <c:order val="3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(2024)'!$I$29</c:f>
              <c:numCache>
                <c:formatCode>#,##0_);[Red]\(#,##0\)</c:formatCode>
                <c:ptCount val="1"/>
              </c:numCache>
            </c:numRef>
          </c:val>
        </c:ser>
        <c:ser>
          <c:idx val="39"/>
          <c:order val="3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(2024)'!$J$29</c:f>
              <c:numCache>
                <c:formatCode>#,##0_);[Red]\(#,##0\)</c:formatCode>
                <c:ptCount val="1"/>
              </c:numCache>
            </c:numRef>
          </c:val>
        </c:ser>
        <c:ser>
          <c:idx val="40"/>
          <c:order val="4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(2024)'!$K$29</c:f>
              <c:numCache>
                <c:formatCode>#,##0_);[Red]\(#,##0\)</c:formatCode>
                <c:ptCount val="1"/>
              </c:numCache>
            </c:numRef>
          </c:val>
        </c:ser>
        <c:ser>
          <c:idx val="41"/>
          <c:order val="4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$276,379,823</c:v>
                </c:pt>
              </c:strCache>
            </c:strRef>
          </c:cat>
          <c:val>
            <c:numRef>
              <c:f>'DATA for CHARTS (2024)'!$L$29</c:f>
              <c:numCache>
                <c:formatCode>#,##0_);[Red]\(#,##0\)</c:formatCode>
                <c:ptCount val="1"/>
              </c:numCache>
            </c:numRef>
          </c:val>
        </c:ser>
        <c:ser>
          <c:idx val="42"/>
          <c:order val="4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3"/>
          <c:order val="4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4"/>
          <c:order val="4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FY2025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109800620.3600004</c:v>
                </c:pt>
                <c:pt idx="1">
                  <c:v>12375902.139999991</c:v>
                </c:pt>
                <c:pt idx="2">
                  <c:v>4063755.6399999997</c:v>
                </c:pt>
                <c:pt idx="3">
                  <c:v>101972.47999999998</c:v>
                </c:pt>
                <c:pt idx="4">
                  <c:v>2884799.919999999</c:v>
                </c:pt>
                <c:pt idx="5">
                  <c:v>27931867.100000009</c:v>
                </c:pt>
                <c:pt idx="6">
                  <c:v>19285171.800000004</c:v>
                </c:pt>
                <c:pt idx="7">
                  <c:v>4167765.7999999989</c:v>
                </c:pt>
                <c:pt idx="8">
                  <c:v>48929050.940000035</c:v>
                </c:pt>
                <c:pt idx="9">
                  <c:v>46224.369999999995</c:v>
                </c:pt>
                <c:pt idx="10">
                  <c:v>12093406.74</c:v>
                </c:pt>
                <c:pt idx="11">
                  <c:v>13203162.840000004</c:v>
                </c:pt>
                <c:pt idx="12">
                  <c:v>369845.62</c:v>
                </c:pt>
                <c:pt idx="13">
                  <c:v>0</c:v>
                </c:pt>
                <c:pt idx="14">
                  <c:v>126277.28999999998</c:v>
                </c:pt>
                <c:pt idx="15">
                  <c:v>21000000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08213560"/>
        <c:axId val="908207288"/>
      </c:barChart>
      <c:valAx>
        <c:axId val="908207288"/>
        <c:scaling>
          <c:orientation val="minMax"/>
          <c:max val="10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8213560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9082135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8207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FY2025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(2024)'!$B$69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(2024)'!$A$70:$A$74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(2024)'!$B$70:$B$74</c:f>
              <c:numCache>
                <c:formatCode>#,##0_);[Red]\(#,##0\)</c:formatCode>
                <c:ptCount val="5"/>
                <c:pt idx="0">
                  <c:v>970273398</c:v>
                </c:pt>
                <c:pt idx="1">
                  <c:v>15000000</c:v>
                </c:pt>
                <c:pt idx="2">
                  <c:v>560327715</c:v>
                </c:pt>
                <c:pt idx="3">
                  <c:v>1650000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(2024)'!$C$69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(2024)'!$A$70:$A$74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(2024)'!$C$70:$C$74</c:f>
              <c:numCache>
                <c:formatCode>#,##0_);[Red]\(#,##0\)</c:formatCode>
                <c:ptCount val="5"/>
                <c:pt idx="0">
                  <c:v>148935723.22999999</c:v>
                </c:pt>
                <c:pt idx="1">
                  <c:v>5003552.7100000009</c:v>
                </c:pt>
                <c:pt idx="2">
                  <c:v>61686290</c:v>
                </c:pt>
                <c:pt idx="3">
                  <c:v>0</c:v>
                </c:pt>
                <c:pt idx="4">
                  <c:v>99028.23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(2024)'!$R$56</c:f>
              <c:strCache>
                <c:ptCount val="1"/>
                <c:pt idx="0">
                  <c:v>(LOCAL &amp; OTHER)  Budgeted: $986,923,398  Actual: $154,038,304  15.61%
(STATE)  Budgeted: $560,327,715  Actual: $61,686,290   11.01%
TOTAL Budgeted: $1,547,251,113  Actual: $215,724,594   13.94%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(2024)'!$R$56</c:f>
              <c:strCache>
                <c:ptCount val="1"/>
                <c:pt idx="0">
                  <c:v>(LOCAL &amp; OTHER)  Budgeted: $986,923,398  Actual: $154,038,304  15.61%
(STATE)  Budgeted: $560,327,715  Actual: $61,686,290   11.01%
TOTAL Budgeted: $1,547,251,113  Actual: $215,724,594   13.94%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(2024)'!$A$70:$A$74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(2024)'!$R$56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(2024)'!$A$70:$A$74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(2024)'!$R$56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8209640"/>
        <c:axId val="90820689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(2024)'!$A$70:$A$74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(2024)'!$A$70:$A$74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(2024)'!$A$70:$A$74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$986,923,398  Actual: $154,038,304  15.61%
(STATE)  Budgeted: $560,327,715  Actual: $61,686,290   11.01%
TOTAL Budgeted: $1,547,251,113  Actual: $215,724,594   13.94%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(2024)'!$U$56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$986,923,398  Actual: $154,038,304  15.61%
(STATE)  Budgeted: $560,327,715  Actual: $61,686,290   11.01%
TOTAL Budgeted: $1,547,251,113  Actual: $215,724,594   13.94%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(2024)'!$T$56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$986,923,398  Actual: $154,038,304  15.61%
(STATE)  Budgeted: $560,327,715  Actual: $61,686,290   11.01%
TOTAL Budgeted: $1,547,251,113  Actual: $215,724,594   13.94%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(2024)'!$U$56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$986,923,398  Actual: $154,038,304  15.61%
(STATE)  Budgeted: $560,327,715  Actual: $61,686,290   11.01%
TOTAL Budgeted: $1,547,251,113  Actual: $215,724,594   13.94%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(2024)'!$T$56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90820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8206896"/>
        <c:crosses val="autoZero"/>
        <c:auto val="1"/>
        <c:lblAlgn val="ctr"/>
        <c:lblOffset val="500"/>
        <c:noMultiLvlLbl val="0"/>
      </c:catAx>
      <c:valAx>
        <c:axId val="90820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8209640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4797779164265"/>
          <c:h val="0.178336783199325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6"/>
  <sheetViews>
    <sheetView workbookViewId="0"/>
  </sheetViews>
  <pageMargins left="0.25" right="0.25" top="0.25" bottom="0.2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4)'!$B$27:$F$27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52" y="974828"/>
          <a:ext cx="5716847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$1,610,226,972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$276,379,823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88424" cy="720242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TOTAL GENERAL OPERATIONS BUDGET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$1,610,226,972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88424" cy="720242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$986,923,398  Actual: $154,038,304  15.61%</a:t>
          </a:r>
        </a:p>
        <a:p xmlns:a="http://schemas.openxmlformats.org/drawingml/2006/main">
          <a:pPr algn="ctr"/>
          <a:r>
            <a:rPr lang="en-US" sz="1100"/>
            <a:t>(STATE)  Budgeted: $560,327,715  Actual: $61,686,290   11.01%</a:t>
          </a:r>
        </a:p>
        <a:p xmlns:a="http://schemas.openxmlformats.org/drawingml/2006/main">
          <a:pPr algn="ctr"/>
          <a:r>
            <a:rPr lang="en-US" sz="1100"/>
            <a:t>TOTAL Budgeted: $1,547,251,113  Actual: $215,724,594   13.94%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79"/>
  <sheetViews>
    <sheetView tabSelected="1" workbookViewId="0">
      <selection sqref="A1:I1"/>
    </sheetView>
  </sheetViews>
  <sheetFormatPr defaultRowHeight="15" x14ac:dyDescent="0.25"/>
  <cols>
    <col min="1" max="1" width="49.7109375" style="1" bestFit="1" customWidth="1"/>
    <col min="2" max="2" width="19.140625" style="28" bestFit="1" customWidth="1"/>
    <col min="3" max="3" width="21" style="28" bestFit="1" customWidth="1"/>
    <col min="4" max="4" width="14.42578125" style="28" bestFit="1" customWidth="1"/>
    <col min="5" max="5" width="16.140625" style="28" bestFit="1" customWidth="1"/>
    <col min="6" max="6" width="16.28515625" style="28" customWidth="1"/>
    <col min="7" max="7" width="16.140625" style="28" bestFit="1" customWidth="1"/>
    <col min="8" max="8" width="14.7109375" style="28" bestFit="1" customWidth="1"/>
    <col min="9" max="9" width="12.42578125" style="1" customWidth="1"/>
    <col min="10" max="10" width="3.5703125" style="1" customWidth="1"/>
    <col min="11" max="11" width="49.7109375" style="1" bestFit="1" customWidth="1"/>
    <col min="12" max="15" width="14.5703125" style="129" bestFit="1" customWidth="1"/>
    <col min="16" max="16" width="13.5703125" style="129" bestFit="1" customWidth="1"/>
    <col min="17" max="16384" width="9.140625" style="1"/>
  </cols>
  <sheetData>
    <row r="1" spans="1:22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K1" s="130"/>
      <c r="L1" s="130"/>
      <c r="M1" s="130"/>
      <c r="N1" s="130"/>
      <c r="O1" s="130"/>
    </row>
    <row r="2" spans="1:22" ht="18.75" x14ac:dyDescent="0.3">
      <c r="A2" s="151" t="s">
        <v>77</v>
      </c>
      <c r="B2" s="151"/>
      <c r="C2" s="151"/>
      <c r="D2" s="151"/>
      <c r="E2" s="151"/>
      <c r="F2" s="151"/>
      <c r="G2" s="151"/>
      <c r="H2" s="151"/>
      <c r="I2" s="151"/>
      <c r="K2" s="130"/>
      <c r="L2" s="130"/>
      <c r="M2" s="130"/>
      <c r="N2" s="130"/>
      <c r="O2" s="130"/>
    </row>
    <row r="3" spans="1:22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K3" s="130"/>
      <c r="L3" s="130"/>
      <c r="M3" s="130"/>
      <c r="N3" s="130"/>
      <c r="O3" s="130"/>
    </row>
    <row r="4" spans="1:22" x14ac:dyDescent="0.25">
      <c r="A4" s="152">
        <v>45565</v>
      </c>
      <c r="B4" s="152"/>
      <c r="C4" s="152"/>
      <c r="D4" s="152"/>
      <c r="E4" s="152"/>
      <c r="F4" s="152"/>
      <c r="G4" s="152"/>
      <c r="H4" s="152"/>
      <c r="I4" s="152"/>
      <c r="K4" s="130"/>
      <c r="L4" s="130"/>
      <c r="M4" s="130"/>
      <c r="N4" s="130"/>
      <c r="O4" s="130"/>
    </row>
    <row r="5" spans="1:22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K5" s="130"/>
      <c r="L5" s="130"/>
      <c r="M5" s="130"/>
      <c r="N5" s="130"/>
      <c r="O5" s="130"/>
    </row>
    <row r="6" spans="1:22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  <c r="K6" s="130"/>
      <c r="L6" s="130"/>
      <c r="M6" s="130"/>
      <c r="N6" s="130"/>
      <c r="O6" s="130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K7" s="130"/>
      <c r="L7" s="130"/>
      <c r="M7" s="130"/>
      <c r="N7" s="130"/>
      <c r="O7" s="130"/>
      <c r="P7" s="130"/>
    </row>
    <row r="8" spans="1:22" s="5" customFormat="1" x14ac:dyDescent="0.2">
      <c r="A8" s="6" t="s">
        <v>8</v>
      </c>
      <c r="B8" s="7">
        <v>970273398</v>
      </c>
      <c r="C8" s="7">
        <v>970273398</v>
      </c>
      <c r="D8" s="7">
        <v>130717882.48999998</v>
      </c>
      <c r="E8" s="7">
        <v>148935723.22999999</v>
      </c>
      <c r="F8" s="7">
        <v>0</v>
      </c>
      <c r="G8" s="7">
        <f t="shared" ref="G8:G29" si="0">SUM(E8:F8)</f>
        <v>148935723.22999999</v>
      </c>
      <c r="H8" s="7">
        <f t="shared" ref="H8:H12" si="1">C8-G8</f>
        <v>821337674.76999998</v>
      </c>
      <c r="I8" s="33">
        <f>IF(C8=0,"NA",H8/C8)</f>
        <v>0.84650128145634262</v>
      </c>
      <c r="K8"/>
      <c r="L8" s="131"/>
      <c r="M8" s="131"/>
      <c r="N8" s="131"/>
      <c r="O8" s="131"/>
      <c r="P8" s="131"/>
      <c r="R8" s="130"/>
      <c r="S8" s="130"/>
      <c r="T8" s="130"/>
      <c r="U8" s="130"/>
      <c r="V8" s="130"/>
    </row>
    <row r="9" spans="1:22" s="5" customFormat="1" x14ac:dyDescent="0.2">
      <c r="A9" s="6" t="s">
        <v>9</v>
      </c>
      <c r="B9" s="7">
        <v>15000000</v>
      </c>
      <c r="C9" s="7">
        <v>15000000</v>
      </c>
      <c r="D9" s="7">
        <v>1260011.31</v>
      </c>
      <c r="E9" s="7">
        <v>5003552.71</v>
      </c>
      <c r="F9" s="7">
        <v>0</v>
      </c>
      <c r="G9" s="7">
        <f>SUM(E9:F9)</f>
        <v>5003552.71</v>
      </c>
      <c r="H9" s="7">
        <f>C9-G9</f>
        <v>9996447.2899999991</v>
      </c>
      <c r="I9" s="33">
        <f t="shared" ref="I9:I29" si="2">IF(C9=0,"NA",H9/C9)</f>
        <v>0.66642981933333323</v>
      </c>
      <c r="K9"/>
      <c r="L9" s="131"/>
      <c r="M9" s="131"/>
      <c r="N9" s="131"/>
      <c r="O9" s="131"/>
      <c r="P9" s="131"/>
      <c r="R9" s="130"/>
      <c r="S9" s="130"/>
      <c r="T9" s="130"/>
      <c r="U9" s="130"/>
      <c r="V9" s="130"/>
    </row>
    <row r="10" spans="1:22" s="5" customFormat="1" x14ac:dyDescent="0.2">
      <c r="A10" s="6" t="s">
        <v>10</v>
      </c>
      <c r="B10" s="7">
        <v>559830156</v>
      </c>
      <c r="C10" s="7">
        <v>560327715</v>
      </c>
      <c r="D10" s="7">
        <v>46051372</v>
      </c>
      <c r="E10" s="7">
        <v>61686290</v>
      </c>
      <c r="F10" s="7">
        <v>0</v>
      </c>
      <c r="G10" s="7">
        <f t="shared" si="0"/>
        <v>61686290</v>
      </c>
      <c r="H10" s="7">
        <f t="shared" si="1"/>
        <v>498641425</v>
      </c>
      <c r="I10" s="33">
        <f t="shared" si="2"/>
        <v>0.88991033577555589</v>
      </c>
      <c r="K10"/>
      <c r="L10" s="131"/>
      <c r="M10" s="131"/>
      <c r="N10" s="131"/>
      <c r="O10" s="131"/>
      <c r="P10" s="131"/>
      <c r="R10" s="130"/>
      <c r="S10" s="130"/>
      <c r="T10" s="130"/>
      <c r="U10" s="130"/>
      <c r="V10" s="130"/>
    </row>
    <row r="11" spans="1:22" s="5" customFormat="1" x14ac:dyDescent="0.2">
      <c r="A11" s="6" t="s">
        <v>74</v>
      </c>
      <c r="B11" s="7">
        <v>0</v>
      </c>
      <c r="C11" s="7">
        <v>1650000</v>
      </c>
      <c r="D11" s="7">
        <v>0</v>
      </c>
      <c r="E11" s="7">
        <v>0</v>
      </c>
      <c r="F11" s="7">
        <v>0</v>
      </c>
      <c r="G11" s="7">
        <f t="shared" ref="G11" si="3">SUM(E11:F11)</f>
        <v>0</v>
      </c>
      <c r="H11" s="7">
        <f t="shared" ref="H11" si="4">C11-G11</f>
        <v>1650000</v>
      </c>
      <c r="I11" s="33">
        <f t="shared" ref="I11" si="5">IF(C11=0,"NA",H11/C11)</f>
        <v>1</v>
      </c>
      <c r="K11"/>
      <c r="L11" s="131"/>
      <c r="M11" s="131"/>
      <c r="N11" s="131"/>
      <c r="O11" s="131"/>
      <c r="P11" s="131"/>
      <c r="R11" s="130"/>
      <c r="S11" s="130"/>
      <c r="T11" s="130"/>
      <c r="U11" s="130"/>
      <c r="V11" s="130"/>
    </row>
    <row r="12" spans="1:22" s="5" customFormat="1" x14ac:dyDescent="0.2">
      <c r="A12" s="6" t="s">
        <v>11</v>
      </c>
      <c r="B12" s="7">
        <v>0</v>
      </c>
      <c r="C12" s="7">
        <v>0</v>
      </c>
      <c r="D12" s="7">
        <v>99028.23</v>
      </c>
      <c r="E12" s="7">
        <v>99028.23</v>
      </c>
      <c r="F12" s="7">
        <v>0</v>
      </c>
      <c r="G12" s="7">
        <f t="shared" si="0"/>
        <v>99028.23</v>
      </c>
      <c r="H12" s="7">
        <f t="shared" si="1"/>
        <v>-99028.23</v>
      </c>
      <c r="I12" s="33" t="str">
        <f t="shared" si="2"/>
        <v>NA</v>
      </c>
      <c r="K12"/>
      <c r="L12" s="131"/>
      <c r="M12" s="131"/>
      <c r="N12" s="131"/>
      <c r="O12" s="131"/>
      <c r="P12" s="131"/>
      <c r="R12" s="130"/>
      <c r="S12" s="130"/>
      <c r="T12" s="130"/>
      <c r="U12" s="130"/>
      <c r="V12" s="130"/>
    </row>
    <row r="13" spans="1:22" s="5" customFormat="1" ht="24.95" customHeight="1" x14ac:dyDescent="0.25">
      <c r="A13" s="10" t="s">
        <v>12</v>
      </c>
      <c r="B13" s="11">
        <f t="shared" ref="B13:H13" si="6">SUM(B8:B12)</f>
        <v>1545103554</v>
      </c>
      <c r="C13" s="11">
        <f t="shared" si="6"/>
        <v>1547251113</v>
      </c>
      <c r="D13" s="11">
        <f t="shared" si="6"/>
        <v>178128294.02999997</v>
      </c>
      <c r="E13" s="11">
        <f t="shared" si="6"/>
        <v>215724594.16999999</v>
      </c>
      <c r="F13" s="11">
        <f t="shared" si="6"/>
        <v>0</v>
      </c>
      <c r="G13" s="11">
        <f t="shared" si="6"/>
        <v>215724594.16999999</v>
      </c>
      <c r="H13" s="11">
        <f t="shared" si="6"/>
        <v>1331526518.8299999</v>
      </c>
      <c r="I13" s="34">
        <f t="shared" si="2"/>
        <v>0.86057557667434681</v>
      </c>
      <c r="K13" s="1"/>
      <c r="L13" s="1"/>
      <c r="M13" s="1"/>
      <c r="N13" s="1"/>
      <c r="O13" s="129"/>
      <c r="P13" s="1"/>
      <c r="Q13" s="1"/>
      <c r="R13" s="1"/>
    </row>
    <row r="14" spans="1:22" s="5" customFormat="1" x14ac:dyDescent="0.25">
      <c r="A14" s="12" t="s">
        <v>13</v>
      </c>
      <c r="B14" s="13">
        <v>881281747.0299896</v>
      </c>
      <c r="C14" s="13">
        <v>890765390.36999047</v>
      </c>
      <c r="D14" s="13">
        <v>87306973.179999977</v>
      </c>
      <c r="E14" s="13">
        <v>109800620.3600004</v>
      </c>
      <c r="F14" s="13">
        <v>6523944.9100000039</v>
      </c>
      <c r="G14" s="13">
        <f t="shared" si="0"/>
        <v>116324565.2700004</v>
      </c>
      <c r="H14" s="13">
        <f t="shared" ref="H14:H29" si="7">C14-G14</f>
        <v>774440825.09999013</v>
      </c>
      <c r="I14" s="33">
        <f t="shared" si="2"/>
        <v>0.8694105467864176</v>
      </c>
      <c r="K14" s="129"/>
      <c r="L14" s="129"/>
      <c r="M14" s="129"/>
      <c r="N14" s="129"/>
      <c r="O14" s="129"/>
      <c r="P14" s="130"/>
      <c r="Q14" s="130"/>
      <c r="R14" s="130"/>
      <c r="S14" s="130"/>
      <c r="T14" s="130"/>
      <c r="U14" s="130"/>
      <c r="V14" s="130"/>
    </row>
    <row r="15" spans="1:22" s="5" customFormat="1" x14ac:dyDescent="0.25">
      <c r="A15" s="6" t="s">
        <v>14</v>
      </c>
      <c r="B15" s="7">
        <v>93144658.279999956</v>
      </c>
      <c r="C15" s="7">
        <v>88782476.789999932</v>
      </c>
      <c r="D15" s="7">
        <v>8779763.8699999899</v>
      </c>
      <c r="E15" s="7">
        <v>12375902.139999991</v>
      </c>
      <c r="F15" s="7">
        <v>754188.14</v>
      </c>
      <c r="G15" s="7">
        <f t="shared" si="0"/>
        <v>13130090.279999992</v>
      </c>
      <c r="H15" s="7">
        <f t="shared" si="7"/>
        <v>75652386.509999946</v>
      </c>
      <c r="I15" s="33">
        <f t="shared" si="2"/>
        <v>0.85210943921899118</v>
      </c>
      <c r="K15" s="129"/>
      <c r="L15" s="129"/>
      <c r="M15" s="129"/>
      <c r="N15" s="129"/>
      <c r="O15" s="129"/>
      <c r="P15" s="130"/>
      <c r="Q15" s="130"/>
      <c r="R15" s="130"/>
      <c r="S15" s="130"/>
      <c r="T15" s="130"/>
      <c r="U15" s="130"/>
      <c r="V15" s="130"/>
    </row>
    <row r="16" spans="1:22" s="5" customFormat="1" x14ac:dyDescent="0.25">
      <c r="A16" s="6" t="s">
        <v>15</v>
      </c>
      <c r="B16" s="7">
        <v>23374032.369999971</v>
      </c>
      <c r="C16" s="7">
        <v>23954066.549999971</v>
      </c>
      <c r="D16" s="7">
        <v>1341708.7500000002</v>
      </c>
      <c r="E16" s="7">
        <v>4063755.6399999997</v>
      </c>
      <c r="F16" s="7">
        <v>1202796.0400000005</v>
      </c>
      <c r="G16" s="7">
        <f t="shared" si="0"/>
        <v>5266551.68</v>
      </c>
      <c r="H16" s="7">
        <f t="shared" si="7"/>
        <v>18687514.869999971</v>
      </c>
      <c r="I16" s="33">
        <f t="shared" si="2"/>
        <v>0.78013955713920291</v>
      </c>
      <c r="K16" s="129"/>
      <c r="L16" s="129"/>
      <c r="M16" s="129"/>
      <c r="N16" s="129"/>
      <c r="O16" s="129"/>
      <c r="P16" s="130"/>
      <c r="Q16" s="130"/>
      <c r="R16" s="130"/>
      <c r="S16" s="130"/>
      <c r="T16" s="130"/>
      <c r="U16" s="130"/>
      <c r="V16" s="130"/>
    </row>
    <row r="17" spans="1:22" s="5" customFormat="1" x14ac:dyDescent="0.2">
      <c r="A17" s="6" t="s">
        <v>16</v>
      </c>
      <c r="B17" s="7">
        <v>659974.74</v>
      </c>
      <c r="C17" s="7">
        <v>847249.28</v>
      </c>
      <c r="D17" s="7">
        <v>73719.459999999977</v>
      </c>
      <c r="E17" s="7">
        <v>101972.47999999998</v>
      </c>
      <c r="F17" s="7">
        <v>0</v>
      </c>
      <c r="G17" s="7">
        <f t="shared" si="0"/>
        <v>101972.47999999998</v>
      </c>
      <c r="H17" s="7">
        <f t="shared" si="7"/>
        <v>745276.8</v>
      </c>
      <c r="I17" s="33">
        <f t="shared" si="2"/>
        <v>0.87964288385113765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</row>
    <row r="18" spans="1:22" s="5" customFormat="1" x14ac:dyDescent="0.2">
      <c r="A18" s="6" t="s">
        <v>17</v>
      </c>
      <c r="B18" s="7">
        <v>16287854.610000025</v>
      </c>
      <c r="C18" s="7">
        <v>18119247.020000022</v>
      </c>
      <c r="D18" s="7">
        <v>2318810.7500000014</v>
      </c>
      <c r="E18" s="7">
        <v>2884799.919999999</v>
      </c>
      <c r="F18" s="7">
        <v>552574.74000000022</v>
      </c>
      <c r="G18" s="7">
        <f t="shared" si="0"/>
        <v>3437374.6599999992</v>
      </c>
      <c r="H18" s="7">
        <f t="shared" si="7"/>
        <v>14681872.360000022</v>
      </c>
      <c r="I18" s="33">
        <f t="shared" si="2"/>
        <v>0.81029152832864271</v>
      </c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</row>
    <row r="19" spans="1:22" s="5" customFormat="1" x14ac:dyDescent="0.2">
      <c r="A19" s="6" t="s">
        <v>18</v>
      </c>
      <c r="B19" s="7">
        <v>63618909.000000127</v>
      </c>
      <c r="C19" s="7">
        <v>64174513.210000128</v>
      </c>
      <c r="D19" s="7">
        <v>24478885.209999993</v>
      </c>
      <c r="E19" s="7">
        <v>27931867.100000009</v>
      </c>
      <c r="F19" s="7">
        <v>3196875.7999999989</v>
      </c>
      <c r="G19" s="7">
        <f t="shared" si="0"/>
        <v>31128742.900000006</v>
      </c>
      <c r="H19" s="7">
        <f t="shared" si="7"/>
        <v>33045770.310000122</v>
      </c>
      <c r="I19" s="33">
        <f t="shared" si="2"/>
        <v>0.51493604948530713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</row>
    <row r="20" spans="1:22" s="5" customFormat="1" x14ac:dyDescent="0.2">
      <c r="A20" s="6" t="s">
        <v>19</v>
      </c>
      <c r="B20" s="7">
        <v>71833295.980000466</v>
      </c>
      <c r="C20" s="7">
        <v>71818920.450000465</v>
      </c>
      <c r="D20" s="7">
        <v>8870625.4799999986</v>
      </c>
      <c r="E20" s="7">
        <v>19285171.799999963</v>
      </c>
      <c r="F20" s="7">
        <v>353.95</v>
      </c>
      <c r="G20" s="7">
        <f t="shared" si="0"/>
        <v>19285525.749999963</v>
      </c>
      <c r="H20" s="7">
        <f t="shared" si="7"/>
        <v>52533394.700000502</v>
      </c>
      <c r="I20" s="33">
        <f t="shared" si="2"/>
        <v>0.73147012473647066</v>
      </c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</row>
    <row r="21" spans="1:22" s="5" customFormat="1" x14ac:dyDescent="0.2">
      <c r="A21" s="6" t="s">
        <v>20</v>
      </c>
      <c r="B21" s="7">
        <v>21718626.970000003</v>
      </c>
      <c r="C21" s="7">
        <v>22719372.960000001</v>
      </c>
      <c r="D21" s="7">
        <v>1685580.7900000005</v>
      </c>
      <c r="E21" s="7">
        <v>4167765.7999999989</v>
      </c>
      <c r="F21" s="7">
        <v>2099836.6900000004</v>
      </c>
      <c r="G21" s="7">
        <f t="shared" si="0"/>
        <v>6267602.4899999993</v>
      </c>
      <c r="H21" s="7">
        <f t="shared" si="7"/>
        <v>16451770.470000003</v>
      </c>
      <c r="I21" s="33">
        <f t="shared" si="2"/>
        <v>0.72412960071412125</v>
      </c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</row>
    <row r="22" spans="1:22" s="5" customFormat="1" x14ac:dyDescent="0.2">
      <c r="A22" s="6" t="s">
        <v>70</v>
      </c>
      <c r="B22" s="7">
        <v>261530763.45999974</v>
      </c>
      <c r="C22" s="7">
        <v>259830763.45999977</v>
      </c>
      <c r="D22" s="7">
        <v>17798065.849999994</v>
      </c>
      <c r="E22" s="7">
        <v>48929050.940000035</v>
      </c>
      <c r="F22" s="7">
        <v>44068581.889999993</v>
      </c>
      <c r="G22" s="7">
        <f t="shared" si="0"/>
        <v>92997632.830000028</v>
      </c>
      <c r="H22" s="7">
        <f t="shared" si="7"/>
        <v>166833130.62999976</v>
      </c>
      <c r="I22" s="33">
        <f t="shared" si="2"/>
        <v>0.64208382567325695</v>
      </c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</row>
    <row r="23" spans="1:22" s="5" customFormat="1" x14ac:dyDescent="0.2">
      <c r="A23" s="6" t="s">
        <v>76</v>
      </c>
      <c r="B23" s="7">
        <v>0</v>
      </c>
      <c r="C23" s="7">
        <v>0</v>
      </c>
      <c r="D23" s="7">
        <v>46224.369999999995</v>
      </c>
      <c r="E23" s="7">
        <v>46224.369999999995</v>
      </c>
      <c r="F23" s="7">
        <v>0</v>
      </c>
      <c r="G23" s="7">
        <f t="shared" ref="G23" si="8">SUM(E23:F23)</f>
        <v>46224.369999999995</v>
      </c>
      <c r="H23" s="7">
        <f t="shared" ref="H23" si="9">C23-G23</f>
        <v>-46224.369999999995</v>
      </c>
      <c r="I23" s="33" t="str">
        <f t="shared" ref="I23" si="10">IF(C23=0,"NA",H23/C23)</f>
        <v>NA</v>
      </c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</row>
    <row r="24" spans="1:22" s="5" customFormat="1" x14ac:dyDescent="0.2">
      <c r="A24" s="6" t="s">
        <v>21</v>
      </c>
      <c r="B24" s="7">
        <v>95740171.480000004</v>
      </c>
      <c r="C24" s="7">
        <v>95750103.480000004</v>
      </c>
      <c r="D24" s="7">
        <v>8164644.0999999978</v>
      </c>
      <c r="E24" s="7">
        <v>12093406.74</v>
      </c>
      <c r="F24" s="7">
        <v>11309055.32</v>
      </c>
      <c r="G24" s="7">
        <f t="shared" si="0"/>
        <v>23402462.060000002</v>
      </c>
      <c r="H24" s="7">
        <f t="shared" si="7"/>
        <v>72347641.420000002</v>
      </c>
      <c r="I24" s="33">
        <f t="shared" si="2"/>
        <v>0.75558812774663753</v>
      </c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</row>
    <row r="25" spans="1:22" s="5" customFormat="1" x14ac:dyDescent="0.2">
      <c r="A25" s="6" t="s">
        <v>22</v>
      </c>
      <c r="B25" s="7">
        <v>43721314.939999998</v>
      </c>
      <c r="C25" s="7">
        <v>43463959.079999998</v>
      </c>
      <c r="D25" s="7">
        <v>5117136.7799999993</v>
      </c>
      <c r="E25" s="7">
        <v>13203162.840000004</v>
      </c>
      <c r="F25" s="7">
        <v>4613352.7200000007</v>
      </c>
      <c r="G25" s="7">
        <f t="shared" si="0"/>
        <v>17816515.560000002</v>
      </c>
      <c r="H25" s="7">
        <f t="shared" si="7"/>
        <v>25647443.519999996</v>
      </c>
      <c r="I25" s="33">
        <f t="shared" si="2"/>
        <v>0.59008530430449679</v>
      </c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</row>
    <row r="26" spans="1:22" s="5" customFormat="1" x14ac:dyDescent="0.25">
      <c r="A26" s="6" t="s">
        <v>23</v>
      </c>
      <c r="B26" s="7">
        <v>1492693.29</v>
      </c>
      <c r="C26" s="7">
        <v>1492693.29</v>
      </c>
      <c r="D26" s="7">
        <v>246719.28</v>
      </c>
      <c r="E26" s="7">
        <v>369845.62</v>
      </c>
      <c r="F26" s="7">
        <v>0</v>
      </c>
      <c r="G26" s="7">
        <f t="shared" si="0"/>
        <v>369845.62</v>
      </c>
      <c r="H26" s="7">
        <f t="shared" si="7"/>
        <v>1122847.67</v>
      </c>
      <c r="I26" s="33">
        <f t="shared" si="2"/>
        <v>0.75222932770066908</v>
      </c>
      <c r="K26" s="1"/>
      <c r="L26" s="129"/>
      <c r="M26" s="129"/>
      <c r="N26" s="129"/>
      <c r="O26" s="129"/>
      <c r="P26" s="129"/>
      <c r="Q26" s="130"/>
      <c r="R26" s="130"/>
      <c r="S26" s="130"/>
      <c r="T26" s="130"/>
      <c r="U26" s="130"/>
      <c r="V26" s="130"/>
    </row>
    <row r="27" spans="1:22" s="5" customFormat="1" x14ac:dyDescent="0.25">
      <c r="A27" s="6" t="s">
        <v>29</v>
      </c>
      <c r="B27" s="7">
        <v>351273</v>
      </c>
      <c r="C27" s="7">
        <v>351273</v>
      </c>
      <c r="D27" s="7">
        <v>0</v>
      </c>
      <c r="E27" s="7">
        <v>0</v>
      </c>
      <c r="F27" s="7">
        <v>0</v>
      </c>
      <c r="G27" s="7">
        <f t="shared" si="0"/>
        <v>0</v>
      </c>
      <c r="H27" s="7">
        <f t="shared" si="7"/>
        <v>351273</v>
      </c>
      <c r="I27" s="33">
        <f t="shared" si="2"/>
        <v>1</v>
      </c>
      <c r="K27" s="1"/>
      <c r="L27" s="129"/>
      <c r="M27" s="129"/>
      <c r="N27" s="129"/>
      <c r="O27" s="129"/>
      <c r="P27" s="129"/>
      <c r="Q27" s="130"/>
      <c r="R27" s="130"/>
      <c r="S27" s="130"/>
      <c r="T27" s="130"/>
      <c r="U27" s="130"/>
      <c r="V27" s="130"/>
    </row>
    <row r="28" spans="1:22" s="5" customFormat="1" x14ac:dyDescent="0.25">
      <c r="A28" s="6" t="s">
        <v>30</v>
      </c>
      <c r="B28" s="7">
        <v>1502100</v>
      </c>
      <c r="C28" s="7">
        <v>1302100</v>
      </c>
      <c r="D28" s="7">
        <v>110541.05999999998</v>
      </c>
      <c r="E28" s="7">
        <v>126277.29</v>
      </c>
      <c r="F28" s="7">
        <v>0</v>
      </c>
      <c r="G28" s="7">
        <f t="shared" ref="G28" si="11">SUM(E28:F28)</f>
        <v>126277.29</v>
      </c>
      <c r="H28" s="7">
        <f t="shared" ref="H28" si="12">C28-G28</f>
        <v>1175822.71</v>
      </c>
      <c r="I28" s="33">
        <f t="shared" ref="I28" si="13">IF(C28=0,"NA",H28/C28)</f>
        <v>0.90302028262038248</v>
      </c>
      <c r="K28" s="1"/>
      <c r="L28" s="129"/>
      <c r="M28" s="129"/>
      <c r="N28" s="129"/>
      <c r="O28" s="129"/>
      <c r="P28" s="129"/>
      <c r="Q28" s="130"/>
      <c r="R28" s="130"/>
      <c r="S28" s="130"/>
      <c r="T28" s="130"/>
      <c r="U28" s="130"/>
      <c r="V28" s="130"/>
    </row>
    <row r="29" spans="1:22" s="5" customFormat="1" x14ac:dyDescent="0.25">
      <c r="A29" s="6" t="s">
        <v>25</v>
      </c>
      <c r="B29" s="7">
        <v>26854843</v>
      </c>
      <c r="C29" s="7">
        <v>26854843</v>
      </c>
      <c r="D29" s="7">
        <v>0</v>
      </c>
      <c r="E29" s="7">
        <v>21000000</v>
      </c>
      <c r="F29" s="7">
        <v>0</v>
      </c>
      <c r="G29" s="7">
        <f t="shared" si="0"/>
        <v>21000000</v>
      </c>
      <c r="H29" s="7">
        <f t="shared" si="7"/>
        <v>5854843</v>
      </c>
      <c r="I29" s="33">
        <f t="shared" si="2"/>
        <v>0.21801814294725164</v>
      </c>
      <c r="K29" s="1"/>
      <c r="L29" s="1"/>
    </row>
    <row r="30" spans="1:22" s="5" customFormat="1" ht="24.95" customHeight="1" x14ac:dyDescent="0.25">
      <c r="A30" s="10" t="s">
        <v>26</v>
      </c>
      <c r="B30" s="11">
        <f t="shared" ref="B30:H30" si="14">SUM(B14:B29)</f>
        <v>1603112258.1499901</v>
      </c>
      <c r="C30" s="11">
        <f t="shared" si="14"/>
        <v>1610226971.9399908</v>
      </c>
      <c r="D30" s="11">
        <f t="shared" si="14"/>
        <v>166339398.92999995</v>
      </c>
      <c r="E30" s="11">
        <f t="shared" si="14"/>
        <v>276379823.04000044</v>
      </c>
      <c r="F30" s="11">
        <f t="shared" si="14"/>
        <v>74321560.199999988</v>
      </c>
      <c r="G30" s="11">
        <f t="shared" si="14"/>
        <v>350701383.24000043</v>
      </c>
      <c r="H30" s="11">
        <f t="shared" si="14"/>
        <v>1259525588.6999907</v>
      </c>
      <c r="I30" s="34">
        <f>IF(C30=0,"NA",H30/C30)</f>
        <v>0.78220375800966913</v>
      </c>
      <c r="K30" s="1"/>
      <c r="L30" s="1"/>
    </row>
    <row r="31" spans="1:22" s="5" customFormat="1" x14ac:dyDescent="0.25">
      <c r="A31" s="12"/>
      <c r="B31" s="13"/>
      <c r="C31" s="13"/>
      <c r="D31" s="13"/>
      <c r="E31" s="13"/>
      <c r="F31" s="13"/>
      <c r="G31" s="13"/>
      <c r="H31" s="13"/>
      <c r="I31" s="15"/>
      <c r="K31" s="1"/>
      <c r="L31" s="1"/>
      <c r="M31" s="1"/>
      <c r="N31" s="1"/>
      <c r="O31" s="1"/>
      <c r="P31" s="1"/>
    </row>
    <row r="32" spans="1:22" s="5" customFormat="1" ht="24.95" customHeight="1" x14ac:dyDescent="0.25">
      <c r="A32" s="6" t="s">
        <v>27</v>
      </c>
      <c r="B32" s="7">
        <f>B13-B30</f>
        <v>-58008704.149990082</v>
      </c>
      <c r="C32" s="7">
        <f>C13-C30</f>
        <v>-62975858.939990759</v>
      </c>
      <c r="D32" s="7">
        <f>D13-D30</f>
        <v>11788895.100000024</v>
      </c>
      <c r="E32" s="7">
        <f>E13-E30</f>
        <v>-60655228.870000452</v>
      </c>
      <c r="F32" s="7"/>
      <c r="G32" s="7">
        <f>G13-G30</f>
        <v>-134976789.07000044</v>
      </c>
      <c r="H32" s="7"/>
      <c r="I32" s="16"/>
      <c r="K32" s="1"/>
      <c r="L32" s="129"/>
      <c r="M32" s="129"/>
      <c r="N32" s="129"/>
      <c r="O32" s="129"/>
      <c r="P32" s="129"/>
      <c r="Q32" s="1"/>
      <c r="R32" s="1"/>
      <c r="S32" s="1"/>
      <c r="T32" s="1"/>
    </row>
    <row r="33" spans="1:20" s="5" customFormat="1" x14ac:dyDescent="0.25">
      <c r="A33" s="8"/>
      <c r="B33" s="9"/>
      <c r="C33" s="9"/>
      <c r="D33" s="9"/>
      <c r="E33" s="9"/>
      <c r="F33" s="9"/>
      <c r="G33" s="9"/>
      <c r="H33" s="9"/>
      <c r="I33" s="17"/>
      <c r="K33" s="1"/>
      <c r="L33" s="129"/>
      <c r="M33" s="129"/>
      <c r="N33" s="129"/>
      <c r="O33" s="129"/>
      <c r="P33" s="129"/>
      <c r="Q33" s="1"/>
      <c r="R33" s="1"/>
      <c r="S33" s="1"/>
      <c r="T33" s="1"/>
    </row>
    <row r="34" spans="1:20" s="5" customFormat="1" x14ac:dyDescent="0.25">
      <c r="A34" s="136" t="s">
        <v>67</v>
      </c>
      <c r="B34" s="20"/>
      <c r="C34" s="20"/>
      <c r="D34" s="20"/>
      <c r="E34" s="20">
        <v>490773194.26999998</v>
      </c>
      <c r="F34" s="20"/>
      <c r="G34" s="20">
        <f>E34</f>
        <v>490773194.26999998</v>
      </c>
      <c r="H34" s="20"/>
      <c r="I34" s="21"/>
      <c r="K34" s="1"/>
      <c r="L34" s="129"/>
      <c r="M34" s="129"/>
      <c r="N34" s="129"/>
      <c r="O34" s="129"/>
      <c r="P34" s="129"/>
      <c r="Q34" s="1"/>
      <c r="R34" s="1"/>
      <c r="S34" s="1"/>
      <c r="T34" s="1"/>
    </row>
    <row r="35" spans="1:20" s="5" customFormat="1" x14ac:dyDescent="0.25">
      <c r="A35" s="136" t="s">
        <v>68</v>
      </c>
      <c r="B35" s="20"/>
      <c r="C35" s="20"/>
      <c r="D35" s="20"/>
      <c r="E35" s="20">
        <v>45000000</v>
      </c>
      <c r="F35" s="20"/>
      <c r="G35" s="20">
        <f>E35</f>
        <v>45000000</v>
      </c>
      <c r="H35" s="20"/>
      <c r="I35" s="21"/>
      <c r="K35" s="1"/>
      <c r="L35" s="129"/>
      <c r="M35" s="129"/>
      <c r="N35" s="129"/>
      <c r="O35" s="129"/>
      <c r="P35" s="129"/>
      <c r="Q35" s="1"/>
      <c r="R35" s="1"/>
      <c r="S35" s="1"/>
      <c r="T35" s="1"/>
    </row>
    <row r="36" spans="1:20" s="5" customFormat="1" ht="24.75" customHeight="1" x14ac:dyDescent="0.25">
      <c r="A36" s="18" t="s">
        <v>69</v>
      </c>
      <c r="B36" s="20"/>
      <c r="C36" s="20"/>
      <c r="D36" s="20"/>
      <c r="E36" s="20">
        <f>E34-E35</f>
        <v>445773194.26999998</v>
      </c>
      <c r="F36" s="20"/>
      <c r="G36" s="20">
        <f>E36</f>
        <v>445773194.26999998</v>
      </c>
      <c r="H36" s="20"/>
      <c r="I36" s="21"/>
      <c r="K36" s="1"/>
      <c r="L36" s="129"/>
      <c r="M36" s="129"/>
      <c r="N36" s="129"/>
      <c r="O36" s="129"/>
      <c r="P36" s="129"/>
      <c r="Q36" s="1"/>
      <c r="R36" s="1"/>
      <c r="S36" s="1"/>
      <c r="T36" s="1"/>
    </row>
    <row r="37" spans="1:20" s="5" customFormat="1" ht="27.75" customHeight="1" thickBot="1" x14ac:dyDescent="0.3">
      <c r="A37" s="22" t="s">
        <v>28</v>
      </c>
      <c r="B37" s="24"/>
      <c r="C37" s="24"/>
      <c r="D37" s="24"/>
      <c r="E37" s="24">
        <f>+E36+E32</f>
        <v>385117965.3999995</v>
      </c>
      <c r="F37" s="24"/>
      <c r="G37" s="24">
        <f>+G36+G32</f>
        <v>310796405.19999957</v>
      </c>
      <c r="H37" s="24"/>
      <c r="I37" s="25"/>
      <c r="K37" s="1"/>
      <c r="L37" s="129"/>
      <c r="M37" s="129"/>
      <c r="N37" s="129"/>
      <c r="O37" s="129"/>
      <c r="P37" s="129"/>
      <c r="Q37" s="1"/>
      <c r="R37" s="1"/>
      <c r="S37" s="1"/>
      <c r="T37" s="1"/>
    </row>
    <row r="38" spans="1:20" x14ac:dyDescent="0.25">
      <c r="A38" s="5"/>
      <c r="B38" s="31"/>
      <c r="C38" s="31"/>
      <c r="D38" s="31"/>
      <c r="E38" s="31"/>
      <c r="F38" s="31"/>
      <c r="G38" s="31"/>
      <c r="H38" s="31"/>
      <c r="I38" s="5"/>
      <c r="J38" s="5"/>
    </row>
    <row r="39" spans="1:20" x14ac:dyDescent="0.25">
      <c r="B39" s="129"/>
      <c r="C39" s="129"/>
      <c r="D39" s="129"/>
      <c r="E39" s="129"/>
      <c r="F39" s="129"/>
      <c r="G39" s="129"/>
      <c r="H39" s="129"/>
    </row>
    <row r="40" spans="1:20" x14ac:dyDescent="0.25">
      <c r="B40" s="129"/>
      <c r="C40" s="129"/>
      <c r="D40" s="129"/>
      <c r="E40" s="129"/>
      <c r="F40" s="129"/>
      <c r="G40" s="129"/>
      <c r="H40" s="129"/>
      <c r="I40" s="129"/>
      <c r="J40" s="129"/>
    </row>
    <row r="41" spans="1:20" x14ac:dyDescent="0.25">
      <c r="B41" s="129"/>
      <c r="C41" s="129"/>
      <c r="D41" s="1"/>
      <c r="E41" s="1"/>
      <c r="F41" s="1"/>
      <c r="G41" s="1"/>
      <c r="H41" s="1"/>
    </row>
    <row r="42" spans="1:20" x14ac:dyDescent="0.25">
      <c r="B42" s="129"/>
      <c r="C42" s="129"/>
      <c r="D42" s="1"/>
      <c r="E42" s="1"/>
      <c r="F42" s="1"/>
      <c r="G42" s="1"/>
      <c r="H42" s="1"/>
    </row>
    <row r="43" spans="1:20" x14ac:dyDescent="0.25">
      <c r="B43" s="129"/>
      <c r="C43" s="129"/>
      <c r="D43" s="1"/>
      <c r="E43" s="1"/>
      <c r="F43" s="1"/>
      <c r="G43" s="1"/>
      <c r="H43" s="1"/>
    </row>
    <row r="44" spans="1:20" x14ac:dyDescent="0.25">
      <c r="B44" s="129"/>
      <c r="C44" s="129"/>
      <c r="D44" s="1"/>
      <c r="E44" s="1"/>
      <c r="F44" s="1"/>
      <c r="G44" s="1"/>
      <c r="H44" s="1"/>
    </row>
    <row r="45" spans="1:20" x14ac:dyDescent="0.25">
      <c r="B45" s="129"/>
      <c r="C45" s="129"/>
      <c r="D45" s="1"/>
      <c r="E45" s="1"/>
      <c r="F45" s="1"/>
      <c r="G45" s="1"/>
      <c r="H45" s="1"/>
    </row>
    <row r="46" spans="1:20" x14ac:dyDescent="0.25">
      <c r="B46" s="129"/>
      <c r="C46" s="129"/>
      <c r="D46" s="1"/>
      <c r="E46" s="1"/>
      <c r="F46" s="1"/>
      <c r="G46" s="1"/>
      <c r="H46" s="1"/>
    </row>
    <row r="47" spans="1:20" x14ac:dyDescent="0.25">
      <c r="B47" s="129"/>
      <c r="C47" s="129"/>
      <c r="D47" s="129"/>
      <c r="E47" s="129"/>
      <c r="F47" s="1"/>
      <c r="G47" s="1"/>
      <c r="H47" s="1"/>
    </row>
    <row r="48" spans="1:20" x14ac:dyDescent="0.25">
      <c r="B48" s="129"/>
      <c r="C48" s="129"/>
      <c r="D48" s="129"/>
      <c r="E48" s="129"/>
      <c r="F48" s="1"/>
      <c r="G48" s="1"/>
      <c r="H48" s="1"/>
    </row>
    <row r="49" spans="2:10" x14ac:dyDescent="0.25">
      <c r="B49" s="129"/>
      <c r="C49" s="129"/>
      <c r="D49" s="129"/>
      <c r="E49" s="129"/>
      <c r="F49" s="1"/>
      <c r="G49" s="1"/>
      <c r="H49" s="1"/>
    </row>
    <row r="50" spans="2:10" x14ac:dyDescent="0.25">
      <c r="B50" s="129"/>
      <c r="C50" s="129"/>
      <c r="D50" s="129"/>
      <c r="E50" s="129"/>
      <c r="F50" s="1"/>
      <c r="G50" s="1"/>
      <c r="H50" s="129"/>
      <c r="I50" s="129"/>
      <c r="J50" s="129"/>
    </row>
    <row r="51" spans="2:10" x14ac:dyDescent="0.25">
      <c r="B51" s="129"/>
      <c r="C51" s="129"/>
      <c r="D51" s="129"/>
      <c r="E51" s="129"/>
      <c r="F51" s="129"/>
      <c r="G51" s="129"/>
      <c r="H51" s="1"/>
      <c r="I51" s="129"/>
      <c r="J51" s="129"/>
    </row>
    <row r="52" spans="2:10" x14ac:dyDescent="0.25">
      <c r="B52" s="129"/>
      <c r="C52" s="129"/>
      <c r="D52" s="129"/>
      <c r="E52" s="129"/>
      <c r="F52" s="129"/>
      <c r="G52" s="129"/>
      <c r="H52" s="1"/>
    </row>
    <row r="53" spans="2:10" x14ac:dyDescent="0.25">
      <c r="B53" s="129"/>
      <c r="C53" s="129"/>
      <c r="D53" s="129"/>
      <c r="E53" s="129"/>
      <c r="F53" s="129"/>
      <c r="G53" s="129"/>
      <c r="H53" s="129"/>
      <c r="I53" s="129"/>
      <c r="J53" s="129"/>
    </row>
    <row r="54" spans="2:10" x14ac:dyDescent="0.25">
      <c r="B54" s="129"/>
      <c r="C54" s="129"/>
      <c r="D54" s="129"/>
      <c r="E54" s="129"/>
      <c r="F54" s="129"/>
      <c r="G54" s="129"/>
      <c r="H54" s="129"/>
      <c r="I54" s="129"/>
      <c r="J54" s="129"/>
    </row>
    <row r="55" spans="2:10" x14ac:dyDescent="0.25">
      <c r="B55" s="129"/>
      <c r="C55" s="129"/>
      <c r="D55" s="129"/>
      <c r="E55" s="129"/>
      <c r="F55" s="129"/>
      <c r="G55" s="129"/>
      <c r="H55" s="129"/>
      <c r="I55" s="129"/>
      <c r="J55" s="129"/>
    </row>
    <row r="56" spans="2:10" x14ac:dyDescent="0.25">
      <c r="B56" s="129"/>
      <c r="C56" s="129"/>
      <c r="D56" s="129"/>
      <c r="E56" s="129"/>
      <c r="F56" s="129"/>
      <c r="G56" s="129"/>
      <c r="H56" s="129"/>
      <c r="I56" s="129"/>
      <c r="J56" s="129"/>
    </row>
    <row r="57" spans="2:10" x14ac:dyDescent="0.25">
      <c r="B57" s="129"/>
      <c r="C57" s="129"/>
      <c r="D57" s="129"/>
      <c r="E57" s="129"/>
      <c r="F57" s="129"/>
      <c r="G57" s="129"/>
      <c r="H57" s="129"/>
      <c r="I57" s="129"/>
      <c r="J57" s="129"/>
    </row>
    <row r="58" spans="2:10" x14ac:dyDescent="0.25">
      <c r="B58" s="129"/>
      <c r="C58" s="129"/>
      <c r="D58" s="129"/>
      <c r="E58" s="129"/>
      <c r="F58" s="129"/>
      <c r="G58" s="129"/>
      <c r="H58" s="129"/>
      <c r="I58" s="129"/>
      <c r="J58" s="129"/>
    </row>
    <row r="59" spans="2:10" x14ac:dyDescent="0.25">
      <c r="B59" s="129"/>
      <c r="C59" s="129"/>
      <c r="D59" s="129"/>
      <c r="E59" s="129"/>
      <c r="F59" s="129"/>
      <c r="G59" s="129"/>
      <c r="H59" s="129"/>
      <c r="I59" s="129"/>
      <c r="J59" s="129"/>
    </row>
    <row r="60" spans="2:10" x14ac:dyDescent="0.25">
      <c r="B60" s="129"/>
      <c r="C60" s="129"/>
      <c r="D60" s="129"/>
      <c r="E60" s="129"/>
      <c r="F60" s="129"/>
      <c r="G60" s="129"/>
      <c r="H60" s="129"/>
      <c r="I60" s="129"/>
      <c r="J60" s="129"/>
    </row>
    <row r="61" spans="2:10" x14ac:dyDescent="0.25">
      <c r="B61" s="129"/>
      <c r="C61" s="129"/>
      <c r="D61" s="129"/>
      <c r="E61" s="129"/>
      <c r="F61" s="129"/>
      <c r="G61" s="129"/>
      <c r="H61" s="129"/>
      <c r="I61" s="129"/>
      <c r="J61" s="129"/>
    </row>
    <row r="62" spans="2:10" x14ac:dyDescent="0.25">
      <c r="B62" s="129"/>
      <c r="C62" s="129"/>
      <c r="D62" s="129"/>
      <c r="E62" s="129"/>
      <c r="F62" s="129"/>
      <c r="G62" s="129"/>
      <c r="H62" s="129"/>
      <c r="I62" s="129"/>
      <c r="J62" s="129"/>
    </row>
    <row r="63" spans="2:10" x14ac:dyDescent="0.25">
      <c r="B63" s="129"/>
      <c r="C63" s="129"/>
      <c r="D63" s="129"/>
      <c r="E63" s="129"/>
      <c r="F63" s="129"/>
      <c r="G63" s="129"/>
      <c r="H63" s="129"/>
      <c r="I63" s="129"/>
      <c r="J63" s="129"/>
    </row>
    <row r="64" spans="2:10" x14ac:dyDescent="0.25">
      <c r="B64" s="129"/>
      <c r="C64" s="129"/>
      <c r="D64" s="129"/>
      <c r="E64" s="129"/>
      <c r="F64" s="129"/>
      <c r="G64" s="129"/>
      <c r="H64" s="129"/>
      <c r="I64" s="129"/>
      <c r="J64" s="129"/>
    </row>
    <row r="65" spans="2:10" x14ac:dyDescent="0.25">
      <c r="B65" s="129"/>
      <c r="C65" s="129"/>
      <c r="D65" s="129"/>
      <c r="E65" s="129"/>
      <c r="F65" s="129"/>
      <c r="G65" s="129"/>
      <c r="H65" s="129"/>
      <c r="I65" s="129"/>
      <c r="J65" s="129"/>
    </row>
    <row r="66" spans="2:10" x14ac:dyDescent="0.25">
      <c r="B66" s="129"/>
      <c r="C66" s="129"/>
      <c r="D66" s="129"/>
      <c r="E66" s="129"/>
      <c r="F66" s="129"/>
      <c r="G66" s="129"/>
      <c r="H66" s="129"/>
      <c r="I66" s="129"/>
      <c r="J66" s="129"/>
    </row>
    <row r="67" spans="2:10" x14ac:dyDescent="0.25">
      <c r="B67" s="129"/>
      <c r="C67" s="129"/>
      <c r="D67" s="129"/>
      <c r="E67" s="129"/>
      <c r="F67" s="129"/>
      <c r="G67" s="129"/>
      <c r="H67" s="129"/>
      <c r="I67" s="129"/>
      <c r="J67" s="129"/>
    </row>
    <row r="68" spans="2:10" x14ac:dyDescent="0.25">
      <c r="B68" s="129"/>
      <c r="C68" s="129"/>
      <c r="D68" s="129"/>
      <c r="E68" s="129"/>
      <c r="F68" s="129"/>
      <c r="G68" s="129"/>
      <c r="H68" s="129"/>
      <c r="I68" s="129"/>
      <c r="J68" s="129"/>
    </row>
    <row r="69" spans="2:10" x14ac:dyDescent="0.25">
      <c r="B69" s="129"/>
      <c r="C69" s="129"/>
      <c r="D69" s="129"/>
      <c r="E69" s="129"/>
      <c r="F69" s="129"/>
      <c r="G69" s="129"/>
      <c r="H69" s="129"/>
      <c r="I69" s="129"/>
      <c r="J69" s="129"/>
    </row>
    <row r="70" spans="2:10" x14ac:dyDescent="0.25">
      <c r="B70" s="129"/>
      <c r="C70" s="129"/>
      <c r="D70" s="129"/>
      <c r="E70" s="129"/>
      <c r="F70" s="129"/>
      <c r="G70" s="129"/>
      <c r="H70" s="129"/>
      <c r="I70" s="129"/>
      <c r="J70" s="129"/>
    </row>
    <row r="71" spans="2:10" x14ac:dyDescent="0.25">
      <c r="B71" s="129"/>
      <c r="C71" s="129"/>
      <c r="D71" s="129"/>
      <c r="E71" s="129"/>
      <c r="F71" s="129"/>
      <c r="G71" s="129"/>
      <c r="H71" s="129"/>
      <c r="I71" s="129"/>
      <c r="J71" s="129"/>
    </row>
    <row r="72" spans="2:10" x14ac:dyDescent="0.25">
      <c r="B72" s="129"/>
      <c r="C72" s="129"/>
      <c r="D72" s="129"/>
      <c r="E72" s="129"/>
      <c r="F72" s="129"/>
      <c r="G72" s="129"/>
      <c r="H72" s="129"/>
      <c r="I72" s="129"/>
      <c r="J72" s="129"/>
    </row>
    <row r="73" spans="2:10" x14ac:dyDescent="0.25">
      <c r="B73" s="129"/>
      <c r="C73" s="129"/>
      <c r="D73" s="129"/>
      <c r="E73" s="129"/>
      <c r="F73" s="129"/>
      <c r="G73" s="129"/>
      <c r="H73" s="129"/>
      <c r="I73" s="129"/>
      <c r="J73" s="129"/>
    </row>
    <row r="74" spans="2:10" x14ac:dyDescent="0.25">
      <c r="B74" s="129"/>
      <c r="C74" s="129"/>
      <c r="D74" s="129"/>
      <c r="E74" s="129"/>
      <c r="F74" s="129"/>
      <c r="G74" s="129"/>
      <c r="H74" s="129"/>
      <c r="I74" s="129"/>
      <c r="J74" s="129"/>
    </row>
    <row r="75" spans="2:10" x14ac:dyDescent="0.25">
      <c r="B75" s="129"/>
    </row>
    <row r="76" spans="2:10" x14ac:dyDescent="0.25">
      <c r="B76" s="129"/>
    </row>
    <row r="77" spans="2:10" x14ac:dyDescent="0.25">
      <c r="B77" s="129"/>
    </row>
    <row r="78" spans="2:10" x14ac:dyDescent="0.25">
      <c r="B78" s="129"/>
    </row>
    <row r="79" spans="2:10" x14ac:dyDescent="0.25">
      <c r="B79" s="129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98"/>
  <sheetViews>
    <sheetView topLeftCell="E46" workbookViewId="0">
      <selection activeCell="R56" sqref="R56"/>
    </sheetView>
  </sheetViews>
  <sheetFormatPr defaultRowHeight="12.75" x14ac:dyDescent="0.2"/>
  <cols>
    <col min="1" max="1" width="32.42578125" style="47" bestFit="1" customWidth="1"/>
    <col min="2" max="2" width="15.7109375" style="47" customWidth="1"/>
    <col min="3" max="3" width="18.7109375" style="47" customWidth="1"/>
    <col min="4" max="4" width="45.5703125" style="47" bestFit="1" customWidth="1"/>
    <col min="5" max="5" width="16.140625" style="47" customWidth="1"/>
    <col min="6" max="6" width="12.5703125" style="46" customWidth="1"/>
    <col min="7" max="7" width="13.42578125" style="46" bestFit="1" customWidth="1"/>
    <col min="8" max="8" width="14.42578125" style="46" bestFit="1" customWidth="1"/>
    <col min="9" max="9" width="16" style="46" bestFit="1" customWidth="1"/>
    <col min="10" max="17" width="13.42578125" style="46" bestFit="1" customWidth="1"/>
    <col min="18" max="18" width="69.140625" style="47" customWidth="1"/>
    <col min="19" max="20" width="17" style="91" customWidth="1"/>
    <col min="21" max="21" width="17" style="91" bestFit="1" customWidth="1"/>
    <col min="22" max="16384" width="9.140625" style="47"/>
  </cols>
  <sheetData>
    <row r="1" spans="1:23" ht="21" thickBot="1" x14ac:dyDescent="0.25">
      <c r="A1" s="156" t="s">
        <v>75</v>
      </c>
      <c r="B1" s="157"/>
      <c r="C1" s="157"/>
      <c r="D1" s="157"/>
      <c r="E1" s="157"/>
      <c r="F1" s="157"/>
      <c r="G1" s="158"/>
      <c r="H1" s="45"/>
    </row>
    <row r="2" spans="1:23" x14ac:dyDescent="0.2">
      <c r="A2" s="48"/>
      <c r="B2" s="45"/>
      <c r="C2" s="48"/>
      <c r="D2" s="48"/>
      <c r="E2" s="48"/>
      <c r="F2" s="45"/>
      <c r="G2" s="45"/>
    </row>
    <row r="3" spans="1:23" x14ac:dyDescent="0.2">
      <c r="A3" s="159" t="s">
        <v>35</v>
      </c>
      <c r="B3" s="160"/>
      <c r="C3" s="160"/>
      <c r="D3" s="160"/>
      <c r="E3" s="160"/>
      <c r="F3" s="160"/>
      <c r="G3" s="160"/>
    </row>
    <row r="4" spans="1:23" ht="13.5" thickBot="1" x14ac:dyDescent="0.25">
      <c r="A4" s="48"/>
      <c r="B4" s="45"/>
      <c r="C4" s="48"/>
      <c r="D4" s="48"/>
      <c r="E4" s="48"/>
      <c r="F4" s="45"/>
      <c r="G4" s="45"/>
    </row>
    <row r="5" spans="1:23" ht="26.25" thickBot="1" x14ac:dyDescent="0.25">
      <c r="B5" s="49" t="s">
        <v>36</v>
      </c>
      <c r="C5" s="50" t="s">
        <v>37</v>
      </c>
      <c r="D5" s="48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23" ht="13.5" thickBot="1" x14ac:dyDescent="0.25">
      <c r="A6" s="51" t="s">
        <v>38</v>
      </c>
      <c r="B6" s="52">
        <v>1610226971.93999</v>
      </c>
      <c r="C6" s="53">
        <f>SUM(F25:Q25)</f>
        <v>276379823.04000044</v>
      </c>
      <c r="D6" s="48"/>
      <c r="E6" s="48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23" ht="26.25" thickBot="1" x14ac:dyDescent="0.25">
      <c r="B7" s="45"/>
      <c r="C7" s="54"/>
      <c r="D7" s="55"/>
      <c r="E7" s="56" t="s">
        <v>39</v>
      </c>
      <c r="F7" s="57" t="s">
        <v>40</v>
      </c>
      <c r="G7" s="58" t="s">
        <v>41</v>
      </c>
      <c r="H7" s="58" t="s">
        <v>42</v>
      </c>
      <c r="I7" s="58" t="s">
        <v>43</v>
      </c>
      <c r="J7" s="58" t="s">
        <v>44</v>
      </c>
      <c r="K7" s="58" t="s">
        <v>45</v>
      </c>
      <c r="L7" s="58" t="s">
        <v>46</v>
      </c>
      <c r="M7" s="58" t="s">
        <v>47</v>
      </c>
      <c r="N7" s="58" t="s">
        <v>48</v>
      </c>
      <c r="O7" s="58" t="s">
        <v>49</v>
      </c>
      <c r="P7" s="58" t="s">
        <v>50</v>
      </c>
      <c r="Q7" s="59" t="s">
        <v>51</v>
      </c>
    </row>
    <row r="8" spans="1:23" x14ac:dyDescent="0.2">
      <c r="B8" s="46"/>
      <c r="C8" s="144"/>
      <c r="D8" s="48"/>
      <c r="E8" s="60"/>
      <c r="P8" s="47"/>
      <c r="Q8" s="47"/>
    </row>
    <row r="9" spans="1:23" x14ac:dyDescent="0.2">
      <c r="B9" s="46"/>
      <c r="D9" s="48" t="s">
        <v>13</v>
      </c>
      <c r="E9" s="61">
        <f>SUM(F9:Q9)</f>
        <v>109800620.3600004</v>
      </c>
      <c r="F9" s="46">
        <f>8832800.71+605799.549999986</f>
        <v>9438600.2599999867</v>
      </c>
      <c r="G9" s="46">
        <f>13021980.7+33066.2200004458</f>
        <v>13055046.920000445</v>
      </c>
      <c r="H9" s="46">
        <v>87306973.179999977</v>
      </c>
      <c r="P9" s="47"/>
      <c r="Q9" s="91"/>
      <c r="R9" s="47" t="s">
        <v>13</v>
      </c>
      <c r="S9" s="91">
        <v>109800620.3600004</v>
      </c>
      <c r="T9" s="91">
        <f>S9-E9</f>
        <v>0</v>
      </c>
      <c r="U9" s="91">
        <v>33066.220000445799</v>
      </c>
      <c r="W9" s="47" t="s">
        <v>13</v>
      </c>
    </row>
    <row r="10" spans="1:23" x14ac:dyDescent="0.2">
      <c r="B10" s="46"/>
      <c r="D10" s="48" t="s">
        <v>14</v>
      </c>
      <c r="E10" s="61">
        <f t="shared" ref="E10:E24" si="0">SUM(F10:Q10)</f>
        <v>12375902.139999991</v>
      </c>
      <c r="F10" s="46">
        <f>1283427.24+3111.97999999811</f>
        <v>1286539.2199999981</v>
      </c>
      <c r="G10" s="46">
        <f>2302644.44+6954.61000000312</f>
        <v>2309599.0500000031</v>
      </c>
      <c r="H10" s="46">
        <v>8779763.8699999899</v>
      </c>
      <c r="P10" s="47"/>
      <c r="Q10" s="91"/>
      <c r="R10" s="47" t="s">
        <v>14</v>
      </c>
      <c r="S10" s="91">
        <v>12375902.139999991</v>
      </c>
      <c r="T10" s="91">
        <f t="shared" ref="T10:T24" si="1">S10-E10</f>
        <v>0</v>
      </c>
      <c r="U10" s="91">
        <v>6954.6100000031201</v>
      </c>
      <c r="W10" s="47" t="s">
        <v>14</v>
      </c>
    </row>
    <row r="11" spans="1:23" x14ac:dyDescent="0.2">
      <c r="B11" s="46"/>
      <c r="D11" s="48" t="s">
        <v>15</v>
      </c>
      <c r="E11" s="61">
        <f t="shared" si="0"/>
        <v>4063755.6399999997</v>
      </c>
      <c r="F11" s="46">
        <v>1000347.9699999999</v>
      </c>
      <c r="G11" s="46">
        <f>1711023.41+10675.5099999997</f>
        <v>1721698.9199999997</v>
      </c>
      <c r="H11" s="46">
        <v>1341708.7500000002</v>
      </c>
      <c r="P11" s="47"/>
      <c r="Q11" s="91"/>
      <c r="R11" s="47" t="s">
        <v>15</v>
      </c>
      <c r="S11" s="91">
        <v>4063755.6399999997</v>
      </c>
      <c r="T11" s="91">
        <f t="shared" si="1"/>
        <v>0</v>
      </c>
      <c r="U11" s="91">
        <v>10675.5099999997</v>
      </c>
      <c r="W11" s="47" t="s">
        <v>15</v>
      </c>
    </row>
    <row r="12" spans="1:23" x14ac:dyDescent="0.2">
      <c r="B12" s="46"/>
      <c r="D12" s="48" t="s">
        <v>16</v>
      </c>
      <c r="E12" s="61">
        <f t="shared" si="0"/>
        <v>101972.47999999998</v>
      </c>
      <c r="F12" s="46">
        <v>0</v>
      </c>
      <c r="G12" s="46">
        <v>28253.02</v>
      </c>
      <c r="H12" s="46">
        <v>73719.459999999977</v>
      </c>
      <c r="P12" s="47"/>
      <c r="Q12" s="91"/>
      <c r="R12" s="47" t="s">
        <v>16</v>
      </c>
      <c r="S12" s="91">
        <v>101972.47999999998</v>
      </c>
      <c r="T12" s="91">
        <f t="shared" si="1"/>
        <v>0</v>
      </c>
      <c r="U12" s="91">
        <v>0</v>
      </c>
      <c r="W12" s="47" t="s">
        <v>16</v>
      </c>
    </row>
    <row r="13" spans="1:23" x14ac:dyDescent="0.2">
      <c r="B13" s="46"/>
      <c r="D13" s="48" t="s">
        <v>17</v>
      </c>
      <c r="E13" s="61">
        <f t="shared" si="0"/>
        <v>2884799.919999999</v>
      </c>
      <c r="F13" s="46">
        <f>55256.13+653.070000000065</f>
        <v>55909.200000000063</v>
      </c>
      <c r="G13" s="46">
        <f>509047+1032.96999999741</f>
        <v>510079.96999999741</v>
      </c>
      <c r="H13" s="46">
        <v>2318810.7500000014</v>
      </c>
      <c r="P13" s="47"/>
      <c r="Q13" s="91"/>
      <c r="R13" s="47" t="s">
        <v>17</v>
      </c>
      <c r="S13" s="91">
        <v>2884799.919999999</v>
      </c>
      <c r="T13" s="91">
        <f t="shared" si="1"/>
        <v>0</v>
      </c>
      <c r="U13" s="91">
        <v>1032.96999999741</v>
      </c>
      <c r="W13" s="47" t="s">
        <v>17</v>
      </c>
    </row>
    <row r="14" spans="1:23" x14ac:dyDescent="0.2">
      <c r="B14" s="46"/>
      <c r="D14" s="48" t="s">
        <v>18</v>
      </c>
      <c r="E14" s="61">
        <f t="shared" si="0"/>
        <v>27931867.100000009</v>
      </c>
      <c r="F14" s="46">
        <v>1704486.6800000006</v>
      </c>
      <c r="G14" s="46">
        <f>1730248.18 + 18247.030000016</f>
        <v>1748495.210000016</v>
      </c>
      <c r="H14" s="46">
        <v>24478885.209999993</v>
      </c>
      <c r="P14" s="47"/>
      <c r="Q14" s="91"/>
      <c r="R14" s="47" t="s">
        <v>18</v>
      </c>
      <c r="S14" s="91">
        <v>27931867.100000009</v>
      </c>
      <c r="T14" s="91">
        <f t="shared" si="1"/>
        <v>0</v>
      </c>
      <c r="U14" s="91">
        <v>18247.030000015999</v>
      </c>
      <c r="W14" s="47" t="s">
        <v>18</v>
      </c>
    </row>
    <row r="15" spans="1:23" x14ac:dyDescent="0.2">
      <c r="A15" s="62" t="s">
        <v>52</v>
      </c>
      <c r="B15" s="122">
        <f>B6-C6</f>
        <v>1333847148.8999896</v>
      </c>
      <c r="C15" s="63">
        <f>B15/$B$6</f>
        <v>0.82835971086298477</v>
      </c>
      <c r="D15" s="48" t="s">
        <v>19</v>
      </c>
      <c r="E15" s="61">
        <f t="shared" si="0"/>
        <v>19285171.800000004</v>
      </c>
      <c r="F15" s="46">
        <f>3144697.83+598.250000014901</f>
        <v>3145296.080000015</v>
      </c>
      <c r="G15" s="46">
        <v>7269250.2399999909</v>
      </c>
      <c r="H15" s="46">
        <v>8870625.4799999986</v>
      </c>
      <c r="P15" s="47"/>
      <c r="Q15" s="91"/>
      <c r="R15" s="47" t="s">
        <v>19</v>
      </c>
      <c r="S15" s="91">
        <v>19285171.799999963</v>
      </c>
      <c r="T15" s="91">
        <f t="shared" si="1"/>
        <v>-4.0978193283081055E-8</v>
      </c>
      <c r="U15" s="91">
        <v>-4.0978193283081055E-8</v>
      </c>
      <c r="W15" s="47" t="s">
        <v>19</v>
      </c>
    </row>
    <row r="16" spans="1:23" x14ac:dyDescent="0.2">
      <c r="A16" s="62" t="s">
        <v>53</v>
      </c>
      <c r="B16" s="122">
        <f>C6</f>
        <v>276379823.04000044</v>
      </c>
      <c r="C16" s="63">
        <f>B16/$B$6</f>
        <v>0.17164028913701526</v>
      </c>
      <c r="D16" s="48" t="s">
        <v>20</v>
      </c>
      <c r="E16" s="61">
        <f t="shared" si="0"/>
        <v>4167765.7999999989</v>
      </c>
      <c r="F16" s="46">
        <f>1007407.09+48067.7599999997</f>
        <v>1055474.8499999996</v>
      </c>
      <c r="G16" s="46">
        <f>1416812.52 + 9897.63999999873</f>
        <v>1426710.1599999988</v>
      </c>
      <c r="H16" s="46">
        <v>1685580.7900000005</v>
      </c>
      <c r="P16" s="47"/>
      <c r="Q16" s="91"/>
      <c r="R16" s="47" t="s">
        <v>20</v>
      </c>
      <c r="S16" s="91">
        <v>4167765.7999999989</v>
      </c>
      <c r="T16" s="91">
        <f t="shared" si="1"/>
        <v>0</v>
      </c>
      <c r="U16" s="91">
        <v>9897.6399999987298</v>
      </c>
      <c r="W16" s="47" t="s">
        <v>20</v>
      </c>
    </row>
    <row r="17" spans="1:23" x14ac:dyDescent="0.2">
      <c r="A17" s="48"/>
      <c r="B17" s="45"/>
      <c r="C17" s="48"/>
      <c r="D17" s="64" t="s">
        <v>54</v>
      </c>
      <c r="E17" s="61">
        <f t="shared" si="0"/>
        <v>48929050.940000035</v>
      </c>
      <c r="F17" s="46">
        <v>15019325.579999993</v>
      </c>
      <c r="G17" s="46">
        <f>17568073.75-1456414.23999995</f>
        <v>16111659.51000005</v>
      </c>
      <c r="H17" s="46">
        <v>17798065.849999994</v>
      </c>
      <c r="P17" s="47"/>
      <c r="Q17" s="91"/>
      <c r="R17" s="47" t="s">
        <v>54</v>
      </c>
      <c r="S17" s="91">
        <v>48929050.940000035</v>
      </c>
      <c r="T17" s="91">
        <f t="shared" si="1"/>
        <v>0</v>
      </c>
      <c r="U17" s="91">
        <v>-1456414.2399999499</v>
      </c>
      <c r="W17" s="47" t="s">
        <v>70</v>
      </c>
    </row>
    <row r="18" spans="1:23" x14ac:dyDescent="0.2">
      <c r="A18" s="48"/>
      <c r="B18" s="45"/>
      <c r="C18" s="48"/>
      <c r="D18" s="64" t="s">
        <v>76</v>
      </c>
      <c r="E18" s="61">
        <f t="shared" si="0"/>
        <v>46224.369999999995</v>
      </c>
      <c r="F18" s="46">
        <v>0</v>
      </c>
      <c r="G18" s="46">
        <v>0</v>
      </c>
      <c r="H18" s="46">
        <v>46224.369999999995</v>
      </c>
      <c r="P18" s="47"/>
      <c r="Q18" s="91"/>
      <c r="R18" s="64" t="s">
        <v>76</v>
      </c>
      <c r="S18" s="91">
        <v>46224.369999999995</v>
      </c>
      <c r="T18" s="91">
        <f t="shared" si="1"/>
        <v>0</v>
      </c>
      <c r="U18" s="91">
        <v>0</v>
      </c>
      <c r="W18" s="47" t="s">
        <v>76</v>
      </c>
    </row>
    <row r="19" spans="1:23" x14ac:dyDescent="0.2">
      <c r="B19" s="65"/>
      <c r="C19" s="48"/>
      <c r="D19" s="48" t="s">
        <v>21</v>
      </c>
      <c r="E19" s="61">
        <f t="shared" si="0"/>
        <v>12093406.74</v>
      </c>
      <c r="F19" s="46">
        <f>1827046.3+2789.88000000035</f>
        <v>1829836.1800000004</v>
      </c>
      <c r="G19" s="46">
        <f>2088729.79 + 10196.6700000017</f>
        <v>2098926.4600000018</v>
      </c>
      <c r="H19" s="46">
        <v>8164644.0999999978</v>
      </c>
      <c r="P19" s="47"/>
      <c r="Q19" s="91"/>
      <c r="R19" s="47" t="s">
        <v>21</v>
      </c>
      <c r="S19" s="91">
        <v>12093406.74</v>
      </c>
      <c r="T19" s="91">
        <f t="shared" si="1"/>
        <v>0</v>
      </c>
      <c r="U19" s="91">
        <v>10196.670000001701</v>
      </c>
      <c r="W19" s="47" t="s">
        <v>21</v>
      </c>
    </row>
    <row r="20" spans="1:23" x14ac:dyDescent="0.2">
      <c r="A20" s="48"/>
      <c r="B20" s="45"/>
      <c r="C20" s="48"/>
      <c r="D20" s="48" t="s">
        <v>22</v>
      </c>
      <c r="E20" s="61">
        <f t="shared" si="0"/>
        <v>13203162.840000004</v>
      </c>
      <c r="F20" s="46">
        <f>3201445.58+2958.96000000182</f>
        <v>3204404.5400000019</v>
      </c>
      <c r="G20" s="46">
        <f>4881252.26 + 369.260000001639</f>
        <v>4881621.5200000014</v>
      </c>
      <c r="H20" s="46">
        <v>5117136.7799999993</v>
      </c>
      <c r="P20" s="47"/>
      <c r="Q20" s="91"/>
      <c r="R20" s="47" t="s">
        <v>22</v>
      </c>
      <c r="S20" s="91">
        <v>13203162.840000004</v>
      </c>
      <c r="T20" s="91">
        <f t="shared" si="1"/>
        <v>0</v>
      </c>
      <c r="U20" s="91">
        <v>369.26000000163901</v>
      </c>
      <c r="W20" s="47" t="s">
        <v>22</v>
      </c>
    </row>
    <row r="21" spans="1:23" x14ac:dyDescent="0.2">
      <c r="A21" s="48"/>
      <c r="B21" s="45"/>
      <c r="C21" s="48"/>
      <c r="D21" s="48" t="s">
        <v>23</v>
      </c>
      <c r="E21" s="61">
        <f t="shared" si="0"/>
        <v>369845.62</v>
      </c>
      <c r="F21" s="46">
        <v>37262.15</v>
      </c>
      <c r="G21" s="46">
        <v>85864.19</v>
      </c>
      <c r="H21" s="46">
        <v>246719.28</v>
      </c>
      <c r="P21" s="47"/>
      <c r="Q21" s="91"/>
      <c r="R21" s="47" t="s">
        <v>23</v>
      </c>
      <c r="S21" s="91">
        <v>369845.62</v>
      </c>
      <c r="T21" s="91">
        <f t="shared" si="1"/>
        <v>0</v>
      </c>
      <c r="U21" s="91">
        <v>0</v>
      </c>
      <c r="W21" s="47" t="s">
        <v>23</v>
      </c>
    </row>
    <row r="22" spans="1:23" x14ac:dyDescent="0.2">
      <c r="A22" s="48"/>
      <c r="B22" s="45"/>
      <c r="C22" s="48"/>
      <c r="D22" s="48" t="s">
        <v>29</v>
      </c>
      <c r="E22" s="61">
        <f t="shared" si="0"/>
        <v>0</v>
      </c>
      <c r="F22" s="46">
        <v>0</v>
      </c>
      <c r="G22" s="46">
        <v>0</v>
      </c>
      <c r="H22" s="46">
        <v>0</v>
      </c>
      <c r="P22" s="47"/>
      <c r="Q22" s="91"/>
      <c r="R22" s="47" t="s">
        <v>29</v>
      </c>
      <c r="S22" s="91">
        <v>0</v>
      </c>
      <c r="T22" s="91">
        <f t="shared" si="1"/>
        <v>0</v>
      </c>
      <c r="U22" s="91">
        <v>0</v>
      </c>
      <c r="W22" s="47" t="s">
        <v>29</v>
      </c>
    </row>
    <row r="23" spans="1:23" x14ac:dyDescent="0.2">
      <c r="A23" s="48"/>
      <c r="B23" s="45"/>
      <c r="C23" s="48"/>
      <c r="D23" s="48" t="s">
        <v>30</v>
      </c>
      <c r="E23" s="61">
        <f t="shared" si="0"/>
        <v>126277.28999999998</v>
      </c>
      <c r="F23" s="46">
        <v>0</v>
      </c>
      <c r="G23" s="46">
        <v>15736.230000000001</v>
      </c>
      <c r="H23" s="46">
        <v>110541.05999999998</v>
      </c>
      <c r="P23" s="47"/>
      <c r="Q23" s="91"/>
      <c r="R23" s="47" t="s">
        <v>30</v>
      </c>
      <c r="S23" s="91">
        <v>126277.29</v>
      </c>
      <c r="T23" s="91">
        <f t="shared" si="1"/>
        <v>0</v>
      </c>
      <c r="U23" s="91">
        <v>0</v>
      </c>
      <c r="W23" s="47" t="s">
        <v>30</v>
      </c>
    </row>
    <row r="24" spans="1:23" ht="13.5" thickBot="1" x14ac:dyDescent="0.25">
      <c r="A24" s="48"/>
      <c r="B24" s="45"/>
      <c r="C24" s="48"/>
      <c r="D24" s="48" t="s">
        <v>25</v>
      </c>
      <c r="E24" s="61">
        <f t="shared" si="0"/>
        <v>21000000</v>
      </c>
      <c r="F24" s="46">
        <v>21000000</v>
      </c>
      <c r="G24" s="46">
        <v>0</v>
      </c>
      <c r="H24" s="46">
        <v>0</v>
      </c>
      <c r="P24" s="47"/>
      <c r="Q24" s="91"/>
      <c r="R24" s="47" t="s">
        <v>25</v>
      </c>
      <c r="S24" s="91">
        <v>21000000</v>
      </c>
      <c r="T24" s="91">
        <f t="shared" si="1"/>
        <v>0</v>
      </c>
      <c r="U24" s="91">
        <v>0</v>
      </c>
      <c r="W24" s="47" t="s">
        <v>25</v>
      </c>
    </row>
    <row r="25" spans="1:23" ht="13.5" thickBot="1" x14ac:dyDescent="0.25">
      <c r="A25" s="48"/>
      <c r="B25" s="45"/>
      <c r="C25" s="48"/>
      <c r="D25" s="66" t="s">
        <v>55</v>
      </c>
      <c r="E25" s="67">
        <f t="shared" ref="E25:Q25" si="2">SUM(E9:E24)</f>
        <v>276379823.04000044</v>
      </c>
      <c r="F25" s="68">
        <f t="shared" si="2"/>
        <v>58777482.709999993</v>
      </c>
      <c r="G25" s="68">
        <f t="shared" si="2"/>
        <v>51262941.400000505</v>
      </c>
      <c r="H25" s="68">
        <f t="shared" si="2"/>
        <v>166339398.92999995</v>
      </c>
      <c r="I25" s="68">
        <f t="shared" si="2"/>
        <v>0</v>
      </c>
      <c r="J25" s="68">
        <f t="shared" si="2"/>
        <v>0</v>
      </c>
      <c r="K25" s="68">
        <f t="shared" si="2"/>
        <v>0</v>
      </c>
      <c r="L25" s="68">
        <f t="shared" si="2"/>
        <v>0</v>
      </c>
      <c r="M25" s="68">
        <f t="shared" si="2"/>
        <v>0</v>
      </c>
      <c r="N25" s="68">
        <f t="shared" si="2"/>
        <v>0</v>
      </c>
      <c r="O25" s="68">
        <f t="shared" si="2"/>
        <v>0</v>
      </c>
      <c r="P25" s="68">
        <f t="shared" si="2"/>
        <v>0</v>
      </c>
      <c r="Q25" s="68">
        <f t="shared" si="2"/>
        <v>0</v>
      </c>
      <c r="S25" s="119">
        <f>SUM(S9:S24)</f>
        <v>276379823.04000044</v>
      </c>
      <c r="T25" s="119">
        <f>SUM(T9:T24)</f>
        <v>-4.0978193283081055E-8</v>
      </c>
      <c r="U25" s="119">
        <f>SUM(U9:U24)</f>
        <v>-1365974.3299995267</v>
      </c>
    </row>
    <row r="26" spans="1:23" x14ac:dyDescent="0.2">
      <c r="A26" s="48"/>
      <c r="B26" s="45"/>
      <c r="C26" s="48"/>
      <c r="D26" s="48"/>
      <c r="E26" s="48"/>
      <c r="F26" s="45"/>
      <c r="G26" s="45"/>
    </row>
    <row r="27" spans="1:23" ht="29.25" customHeight="1" x14ac:dyDescent="0.2">
      <c r="A27" s="11"/>
      <c r="B27" s="161" t="s">
        <v>82</v>
      </c>
      <c r="C27" s="161"/>
      <c r="D27" s="161"/>
      <c r="E27" s="161"/>
      <c r="F27" s="161"/>
      <c r="G27" s="69"/>
    </row>
    <row r="28" spans="1:23" x14ac:dyDescent="0.2">
      <c r="A28" s="48"/>
      <c r="B28" s="45"/>
      <c r="C28" s="48"/>
      <c r="D28" s="48"/>
      <c r="E28" s="124"/>
      <c r="F28" s="45"/>
      <c r="G28" s="45"/>
    </row>
    <row r="29" spans="1:23" ht="29.25" customHeight="1" x14ac:dyDescent="0.2">
      <c r="B29" s="161" t="str">
        <f>"GENERAL OPERATIONS" &amp; " YTD EXPENSES"&amp;CHAR(10)&amp;TEXT(C6,"$#,##0")</f>
        <v>GENERAL OPERATIONS YTD EXPENSES
$276,379,823</v>
      </c>
      <c r="C29" s="161"/>
      <c r="D29" s="161"/>
      <c r="E29" s="161"/>
      <c r="F29" s="161"/>
      <c r="G29" s="69"/>
      <c r="H29" s="123" t="s">
        <v>83</v>
      </c>
    </row>
    <row r="30" spans="1:23" x14ac:dyDescent="0.2">
      <c r="A30" s="48"/>
      <c r="B30" s="45"/>
      <c r="C30" s="48"/>
      <c r="D30" s="48"/>
      <c r="E30" s="48"/>
      <c r="F30" s="45"/>
      <c r="G30" s="45"/>
    </row>
    <row r="31" spans="1:23" x14ac:dyDescent="0.2">
      <c r="A31" s="48"/>
      <c r="B31" s="45"/>
      <c r="C31" s="48"/>
      <c r="D31" s="48"/>
      <c r="E31" s="48"/>
      <c r="F31" s="45"/>
      <c r="G31" s="45"/>
    </row>
    <row r="32" spans="1:23" x14ac:dyDescent="0.2">
      <c r="A32" s="48"/>
      <c r="B32" s="45"/>
      <c r="C32" s="48"/>
      <c r="D32" s="48"/>
      <c r="E32" s="45"/>
      <c r="F32" s="45"/>
      <c r="G32" s="45"/>
    </row>
    <row r="33" spans="1:21" x14ac:dyDescent="0.2">
      <c r="A33" s="70"/>
      <c r="B33" s="71"/>
      <c r="C33" s="70"/>
      <c r="D33" s="70"/>
      <c r="E33" s="70"/>
      <c r="F33" s="71"/>
      <c r="G33" s="71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3"/>
    </row>
    <row r="34" spans="1:21" x14ac:dyDescent="0.2">
      <c r="A34" s="48"/>
      <c r="B34" s="45"/>
      <c r="C34" s="48"/>
      <c r="D34" s="48"/>
      <c r="E34" s="48"/>
      <c r="F34" s="45"/>
      <c r="G34" s="45"/>
    </row>
    <row r="35" spans="1:21" x14ac:dyDescent="0.2">
      <c r="A35" s="48"/>
      <c r="B35" s="45"/>
      <c r="C35" s="48"/>
      <c r="D35" s="48"/>
      <c r="E35" s="48"/>
      <c r="F35" s="45"/>
      <c r="G35" s="45"/>
    </row>
    <row r="36" spans="1:21" ht="13.5" thickBot="1" x14ac:dyDescent="0.25"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1:21" ht="13.5" thickBot="1" x14ac:dyDescent="0.25">
      <c r="A37" s="162" t="s">
        <v>56</v>
      </c>
      <c r="B37" s="163"/>
      <c r="C37" s="163"/>
      <c r="D37" s="163"/>
      <c r="E37" s="163"/>
      <c r="F37" s="164"/>
      <c r="G37" s="48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1:21" ht="13.5" thickBot="1" x14ac:dyDescent="0.25">
      <c r="B38" s="46"/>
      <c r="D38" s="48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1:21" ht="26.25" thickBot="1" x14ac:dyDescent="0.25">
      <c r="B39" s="74" t="s">
        <v>57</v>
      </c>
      <c r="C39" s="75" t="s">
        <v>58</v>
      </c>
      <c r="D39" s="76" t="s">
        <v>59</v>
      </c>
      <c r="E39" s="77" t="s">
        <v>40</v>
      </c>
      <c r="F39" s="78" t="s">
        <v>41</v>
      </c>
      <c r="G39" s="78" t="s">
        <v>42</v>
      </c>
      <c r="H39" s="78" t="s">
        <v>43</v>
      </c>
      <c r="I39" s="78" t="s">
        <v>44</v>
      </c>
      <c r="J39" s="78" t="s">
        <v>45</v>
      </c>
      <c r="K39" s="78" t="s">
        <v>46</v>
      </c>
      <c r="L39" s="78" t="s">
        <v>47</v>
      </c>
      <c r="M39" s="78" t="s">
        <v>48</v>
      </c>
      <c r="N39" s="78" t="s">
        <v>49</v>
      </c>
      <c r="O39" s="78" t="s">
        <v>50</v>
      </c>
      <c r="P39" s="79" t="s">
        <v>51</v>
      </c>
      <c r="Q39" s="47"/>
      <c r="R39" s="80"/>
      <c r="S39" s="125"/>
      <c r="T39" s="125"/>
    </row>
    <row r="40" spans="1:21" s="80" customFormat="1" ht="14.25" x14ac:dyDescent="0.2">
      <c r="A40" s="80" t="s">
        <v>8</v>
      </c>
      <c r="B40" s="141">
        <v>970273398</v>
      </c>
      <c r="C40" s="81">
        <f>SUM(E40:P40)</f>
        <v>148935723.22999999</v>
      </c>
      <c r="D40" s="82">
        <f t="shared" ref="D40:D45" si="3">C40/B40</f>
        <v>0.15349871854365732</v>
      </c>
      <c r="E40" s="126">
        <v>0</v>
      </c>
      <c r="F40" s="126">
        <f>18226313.12-8472.37999999523</f>
        <v>18217840.740000006</v>
      </c>
      <c r="G40" s="126">
        <v>130717882.48999998</v>
      </c>
      <c r="H40" s="126"/>
      <c r="I40" s="126"/>
      <c r="J40" s="126"/>
      <c r="K40" s="126"/>
      <c r="L40" s="126"/>
      <c r="M40" s="126"/>
      <c r="N40" s="126"/>
      <c r="O40" s="126"/>
      <c r="P40" s="126"/>
      <c r="R40" s="80" t="s">
        <v>8</v>
      </c>
      <c r="S40" s="137">
        <v>148935723.22999999</v>
      </c>
      <c r="T40" s="125">
        <f>S40-C40</f>
        <v>0</v>
      </c>
      <c r="U40" s="125">
        <v>-8472.3799999952298</v>
      </c>
    </row>
    <row r="41" spans="1:21" s="80" customFormat="1" ht="14.25" x14ac:dyDescent="0.2">
      <c r="A41" s="80" t="s">
        <v>9</v>
      </c>
      <c r="B41" s="142">
        <v>15000000</v>
      </c>
      <c r="C41" s="83">
        <f>SUM(E41:P41)</f>
        <v>5003552.7100000009</v>
      </c>
      <c r="D41" s="84">
        <f t="shared" si="3"/>
        <v>0.33357018066666672</v>
      </c>
      <c r="E41" s="127">
        <v>2000986.86</v>
      </c>
      <c r="F41" s="127">
        <v>1742554.54</v>
      </c>
      <c r="G41" s="127">
        <v>1260011.31</v>
      </c>
      <c r="H41" s="127"/>
      <c r="I41" s="127"/>
      <c r="J41" s="127"/>
      <c r="K41" s="127"/>
      <c r="L41" s="127"/>
      <c r="M41" s="127"/>
      <c r="N41" s="127"/>
      <c r="O41" s="127"/>
      <c r="P41" s="127"/>
      <c r="R41" s="80" t="s">
        <v>9</v>
      </c>
      <c r="S41" s="137">
        <v>5003552.71</v>
      </c>
      <c r="T41" s="125">
        <f t="shared" ref="T41:T44" si="4">S41-C41</f>
        <v>0</v>
      </c>
      <c r="U41" s="125">
        <v>0</v>
      </c>
    </row>
    <row r="42" spans="1:21" s="80" customFormat="1" ht="14.25" x14ac:dyDescent="0.2">
      <c r="A42" s="80" t="s">
        <v>10</v>
      </c>
      <c r="B42" s="142">
        <v>560327715</v>
      </c>
      <c r="C42" s="83">
        <f>SUM(E42:P42)</f>
        <v>61686290</v>
      </c>
      <c r="D42" s="84">
        <f t="shared" si="3"/>
        <v>0.11008966422444408</v>
      </c>
      <c r="E42" s="127">
        <v>7843261</v>
      </c>
      <c r="F42" s="127">
        <f>7509691 + 281966</f>
        <v>7791657</v>
      </c>
      <c r="G42" s="127">
        <v>46051372</v>
      </c>
      <c r="H42" s="127"/>
      <c r="I42" s="127"/>
      <c r="J42" s="127"/>
      <c r="K42" s="127"/>
      <c r="L42" s="127"/>
      <c r="M42" s="127"/>
      <c r="N42" s="127"/>
      <c r="O42" s="127"/>
      <c r="P42" s="127"/>
      <c r="R42" s="80" t="s">
        <v>10</v>
      </c>
      <c r="S42" s="137">
        <v>61686290</v>
      </c>
      <c r="T42" s="125">
        <f t="shared" si="4"/>
        <v>0</v>
      </c>
      <c r="U42" s="125">
        <v>281966</v>
      </c>
    </row>
    <row r="43" spans="1:21" s="80" customFormat="1" ht="14.25" x14ac:dyDescent="0.2">
      <c r="A43" s="80" t="s">
        <v>74</v>
      </c>
      <c r="B43" s="142">
        <v>1650000</v>
      </c>
      <c r="C43" s="83">
        <f>SUM(E43:P43)</f>
        <v>0</v>
      </c>
      <c r="D43" s="84">
        <f>IF(B43=0,0,C43/B43)</f>
        <v>0</v>
      </c>
      <c r="E43" s="127">
        <v>0</v>
      </c>
      <c r="F43" s="127">
        <v>0</v>
      </c>
      <c r="G43" s="127">
        <v>0</v>
      </c>
      <c r="H43" s="127"/>
      <c r="I43" s="127"/>
      <c r="J43" s="127"/>
      <c r="K43" s="127"/>
      <c r="L43" s="127"/>
      <c r="M43" s="127"/>
      <c r="N43" s="127"/>
      <c r="O43" s="127"/>
      <c r="P43" s="127"/>
      <c r="R43" s="80" t="s">
        <v>74</v>
      </c>
      <c r="S43" s="137">
        <v>0</v>
      </c>
      <c r="T43" s="125">
        <f t="shared" si="4"/>
        <v>0</v>
      </c>
      <c r="U43" s="125">
        <v>0</v>
      </c>
    </row>
    <row r="44" spans="1:21" s="80" customFormat="1" ht="15" thickBot="1" x14ac:dyDescent="0.25">
      <c r="A44" s="80" t="s">
        <v>11</v>
      </c>
      <c r="B44" s="143">
        <v>0</v>
      </c>
      <c r="C44" s="83">
        <f>SUM(E44:P44)</f>
        <v>99028.23</v>
      </c>
      <c r="D44" s="84">
        <f>IF(B44=0,0,C44/B44)</f>
        <v>0</v>
      </c>
      <c r="E44" s="128">
        <v>0</v>
      </c>
      <c r="F44" s="128">
        <v>0</v>
      </c>
      <c r="G44" s="128">
        <v>99028.23</v>
      </c>
      <c r="H44" s="128"/>
      <c r="I44" s="128"/>
      <c r="J44" s="128"/>
      <c r="K44" s="128"/>
      <c r="L44" s="128"/>
      <c r="M44" s="128"/>
      <c r="N44" s="128"/>
      <c r="O44" s="128"/>
      <c r="P44" s="128"/>
      <c r="R44" s="80" t="s">
        <v>11</v>
      </c>
      <c r="S44" s="137">
        <v>99028.23</v>
      </c>
      <c r="T44" s="125">
        <f t="shared" si="4"/>
        <v>0</v>
      </c>
      <c r="U44" s="125">
        <v>0</v>
      </c>
    </row>
    <row r="45" spans="1:21" s="85" customFormat="1" ht="12.75" customHeight="1" thickBot="1" x14ac:dyDescent="0.25">
      <c r="B45" s="86">
        <f>SUM(B40:B44)</f>
        <v>1547251113</v>
      </c>
      <c r="C45" s="87">
        <f>SUM(C40:C44)</f>
        <v>215724594.16999999</v>
      </c>
      <c r="D45" s="88">
        <f t="shared" si="3"/>
        <v>0.13942442332565314</v>
      </c>
      <c r="E45" s="89">
        <f>SUM(E40:E44)</f>
        <v>9844247.8599999994</v>
      </c>
      <c r="F45" s="90">
        <f t="shared" ref="F45:P45" si="5">SUM(F40:F44)</f>
        <v>27752052.280000005</v>
      </c>
      <c r="G45" s="90">
        <f t="shared" si="5"/>
        <v>178128294.02999997</v>
      </c>
      <c r="H45" s="90">
        <f t="shared" si="5"/>
        <v>0</v>
      </c>
      <c r="I45" s="90">
        <f t="shared" si="5"/>
        <v>0</v>
      </c>
      <c r="J45" s="90">
        <f t="shared" si="5"/>
        <v>0</v>
      </c>
      <c r="K45" s="90">
        <f t="shared" si="5"/>
        <v>0</v>
      </c>
      <c r="L45" s="90">
        <f t="shared" si="5"/>
        <v>0</v>
      </c>
      <c r="M45" s="90">
        <f t="shared" si="5"/>
        <v>0</v>
      </c>
      <c r="N45" s="90">
        <f t="shared" si="5"/>
        <v>0</v>
      </c>
      <c r="O45" s="90">
        <f t="shared" si="5"/>
        <v>0</v>
      </c>
      <c r="P45" s="90">
        <f t="shared" si="5"/>
        <v>0</v>
      </c>
      <c r="Q45" s="47"/>
      <c r="R45" s="46"/>
      <c r="S45" s="91"/>
      <c r="T45" s="91"/>
      <c r="U45" s="139"/>
    </row>
    <row r="46" spans="1:21" ht="13.5" thickBot="1" x14ac:dyDescent="0.25">
      <c r="B46" s="46"/>
      <c r="C46" s="91"/>
      <c r="E46" s="46"/>
      <c r="L46" s="47"/>
      <c r="M46" s="47"/>
      <c r="N46" s="47"/>
      <c r="O46" s="47"/>
      <c r="P46" s="47"/>
      <c r="Q46" s="47"/>
    </row>
    <row r="47" spans="1:21" s="85" customFormat="1" ht="12.75" customHeight="1" x14ac:dyDescent="0.2">
      <c r="A47" s="92" t="s">
        <v>60</v>
      </c>
      <c r="B47" s="93">
        <f>+B40+B41+B44+B43</f>
        <v>986923398</v>
      </c>
      <c r="C47" s="81">
        <f>+C40+C41+C43+C44</f>
        <v>154038304.16999999</v>
      </c>
      <c r="D47" s="94">
        <f>C47/B47</f>
        <v>0.15607929093803893</v>
      </c>
      <c r="E47" s="95">
        <f>+E40+E41+E43+E44</f>
        <v>2000986.86</v>
      </c>
      <c r="F47" s="95">
        <f t="shared" ref="F47:P47" si="6">+F40+F41+F43+F44</f>
        <v>19960395.280000005</v>
      </c>
      <c r="G47" s="95">
        <f t="shared" si="6"/>
        <v>132076922.02999999</v>
      </c>
      <c r="H47" s="95">
        <f t="shared" si="6"/>
        <v>0</v>
      </c>
      <c r="I47" s="95">
        <f t="shared" si="6"/>
        <v>0</v>
      </c>
      <c r="J47" s="95">
        <f t="shared" si="6"/>
        <v>0</v>
      </c>
      <c r="K47" s="95">
        <f t="shared" si="6"/>
        <v>0</v>
      </c>
      <c r="L47" s="95">
        <f t="shared" si="6"/>
        <v>0</v>
      </c>
      <c r="M47" s="95">
        <f t="shared" si="6"/>
        <v>0</v>
      </c>
      <c r="N47" s="95">
        <f t="shared" si="6"/>
        <v>0</v>
      </c>
      <c r="O47" s="95">
        <f t="shared" si="6"/>
        <v>0</v>
      </c>
      <c r="P47" s="95">
        <f t="shared" si="6"/>
        <v>0</v>
      </c>
      <c r="Q47" s="47"/>
      <c r="R47" s="47"/>
      <c r="S47" s="91"/>
      <c r="T47" s="91"/>
      <c r="U47" s="139"/>
    </row>
    <row r="48" spans="1:21" s="85" customFormat="1" ht="12.75" customHeight="1" thickBot="1" x14ac:dyDescent="0.25">
      <c r="A48" s="92" t="s">
        <v>61</v>
      </c>
      <c r="B48" s="96">
        <f>B42</f>
        <v>560327715</v>
      </c>
      <c r="C48" s="97">
        <f>C42</f>
        <v>61686290</v>
      </c>
      <c r="D48" s="98">
        <f>C48/B48</f>
        <v>0.11008966422444408</v>
      </c>
      <c r="E48" s="99">
        <f>E42</f>
        <v>7843261</v>
      </c>
      <c r="F48" s="99">
        <f t="shared" ref="F48:P48" si="7">F42</f>
        <v>7791657</v>
      </c>
      <c r="G48" s="99">
        <f t="shared" si="7"/>
        <v>46051372</v>
      </c>
      <c r="H48" s="99">
        <f t="shared" si="7"/>
        <v>0</v>
      </c>
      <c r="I48" s="99">
        <f t="shared" si="7"/>
        <v>0</v>
      </c>
      <c r="J48" s="99">
        <f t="shared" si="7"/>
        <v>0</v>
      </c>
      <c r="K48" s="99">
        <f t="shared" si="7"/>
        <v>0</v>
      </c>
      <c r="L48" s="99">
        <f t="shared" si="7"/>
        <v>0</v>
      </c>
      <c r="M48" s="99">
        <f t="shared" si="7"/>
        <v>0</v>
      </c>
      <c r="N48" s="99">
        <f t="shared" si="7"/>
        <v>0</v>
      </c>
      <c r="O48" s="99">
        <f t="shared" si="7"/>
        <v>0</v>
      </c>
      <c r="P48" s="99">
        <f t="shared" si="7"/>
        <v>0</v>
      </c>
      <c r="Q48" s="47"/>
      <c r="R48" s="47"/>
      <c r="S48" s="91"/>
      <c r="T48" s="91"/>
      <c r="U48" s="139"/>
    </row>
    <row r="49" spans="1:21" s="85" customFormat="1" ht="12.75" customHeight="1" thickBot="1" x14ac:dyDescent="0.25">
      <c r="B49" s="86">
        <f>SUM(B47:B48)</f>
        <v>1547251113</v>
      </c>
      <c r="C49" s="100">
        <f>SUM(C47:C48)</f>
        <v>215724594.16999999</v>
      </c>
      <c r="D49" s="101">
        <f>C49/B49</f>
        <v>0.13942442332565314</v>
      </c>
      <c r="E49" s="102">
        <f>+E47+E48</f>
        <v>9844247.8599999994</v>
      </c>
      <c r="F49" s="103">
        <f t="shared" ref="F49:P49" si="8">+F47+F48</f>
        <v>27752052.280000005</v>
      </c>
      <c r="G49" s="103">
        <f t="shared" si="8"/>
        <v>178128294.02999997</v>
      </c>
      <c r="H49" s="103">
        <f t="shared" si="8"/>
        <v>0</v>
      </c>
      <c r="I49" s="103">
        <f t="shared" si="8"/>
        <v>0</v>
      </c>
      <c r="J49" s="103">
        <f t="shared" si="8"/>
        <v>0</v>
      </c>
      <c r="K49" s="103">
        <f t="shared" si="8"/>
        <v>0</v>
      </c>
      <c r="L49" s="103">
        <f t="shared" si="8"/>
        <v>0</v>
      </c>
      <c r="M49" s="103">
        <f t="shared" si="8"/>
        <v>0</v>
      </c>
      <c r="N49" s="103">
        <f t="shared" si="8"/>
        <v>0</v>
      </c>
      <c r="O49" s="103">
        <f t="shared" si="8"/>
        <v>0</v>
      </c>
      <c r="P49" s="104">
        <f t="shared" si="8"/>
        <v>0</v>
      </c>
      <c r="Q49" s="47"/>
      <c r="R49" s="47"/>
      <c r="S49" s="91"/>
      <c r="T49" s="91"/>
      <c r="U49" s="139"/>
    </row>
    <row r="50" spans="1:21" s="85" customFormat="1" ht="12.75" customHeight="1" thickBot="1" x14ac:dyDescent="0.25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91"/>
      <c r="T50" s="91"/>
      <c r="U50" s="139"/>
    </row>
    <row r="51" spans="1:21" s="85" customFormat="1" ht="12.75" customHeight="1" thickBot="1" x14ac:dyDescent="0.25">
      <c r="C51" s="154" t="s">
        <v>62</v>
      </c>
      <c r="D51" s="155"/>
      <c r="E51" s="105" t="s">
        <v>40</v>
      </c>
      <c r="F51" s="106" t="s">
        <v>41</v>
      </c>
      <c r="G51" s="106" t="s">
        <v>42</v>
      </c>
      <c r="H51" s="106" t="s">
        <v>43</v>
      </c>
      <c r="I51" s="106" t="s">
        <v>44</v>
      </c>
      <c r="J51" s="106" t="s">
        <v>45</v>
      </c>
      <c r="K51" s="106" t="s">
        <v>46</v>
      </c>
      <c r="L51" s="106" t="s">
        <v>47</v>
      </c>
      <c r="M51" s="106" t="s">
        <v>48</v>
      </c>
      <c r="N51" s="106" t="s">
        <v>49</v>
      </c>
      <c r="O51" s="106" t="s">
        <v>50</v>
      </c>
      <c r="P51" s="50" t="s">
        <v>51</v>
      </c>
      <c r="Q51" s="47"/>
      <c r="R51" s="47"/>
      <c r="S51" s="91"/>
      <c r="T51" s="91"/>
      <c r="U51" s="139"/>
    </row>
    <row r="52" spans="1:21" s="85" customFormat="1" ht="12.75" customHeight="1" x14ac:dyDescent="0.2">
      <c r="C52" s="107" t="s">
        <v>60</v>
      </c>
      <c r="D52" s="47"/>
      <c r="E52" s="46">
        <f>E47</f>
        <v>2000986.86</v>
      </c>
      <c r="F52" s="46">
        <f>E52+F47</f>
        <v>21961382.140000004</v>
      </c>
      <c r="G52" s="46">
        <f t="shared" ref="G52:P53" si="9">F52+G47</f>
        <v>154038304.16999999</v>
      </c>
      <c r="H52" s="46">
        <f t="shared" si="9"/>
        <v>154038304.16999999</v>
      </c>
      <c r="I52" s="46">
        <f t="shared" si="9"/>
        <v>154038304.16999999</v>
      </c>
      <c r="J52" s="46">
        <f t="shared" si="9"/>
        <v>154038304.16999999</v>
      </c>
      <c r="K52" s="46">
        <f t="shared" si="9"/>
        <v>154038304.16999999</v>
      </c>
      <c r="L52" s="46">
        <f t="shared" si="9"/>
        <v>154038304.16999999</v>
      </c>
      <c r="M52" s="46">
        <f t="shared" si="9"/>
        <v>154038304.16999999</v>
      </c>
      <c r="N52" s="46">
        <f t="shared" si="9"/>
        <v>154038304.16999999</v>
      </c>
      <c r="O52" s="46">
        <f t="shared" si="9"/>
        <v>154038304.16999999</v>
      </c>
      <c r="P52" s="46">
        <f t="shared" si="9"/>
        <v>154038304.16999999</v>
      </c>
      <c r="Q52" s="47"/>
      <c r="R52" s="47"/>
      <c r="S52" s="91"/>
      <c r="T52" s="91"/>
      <c r="U52" s="139"/>
    </row>
    <row r="53" spans="1:21" s="85" customFormat="1" ht="12.75" customHeight="1" thickBot="1" x14ac:dyDescent="0.25">
      <c r="C53" s="107" t="s">
        <v>61</v>
      </c>
      <c r="D53" s="47"/>
      <c r="E53" s="46">
        <f>E48</f>
        <v>7843261</v>
      </c>
      <c r="F53" s="46">
        <f>E53+F48</f>
        <v>15634918</v>
      </c>
      <c r="G53" s="46">
        <f t="shared" si="9"/>
        <v>61686290</v>
      </c>
      <c r="H53" s="46">
        <f t="shared" si="9"/>
        <v>61686290</v>
      </c>
      <c r="I53" s="46">
        <f t="shared" si="9"/>
        <v>61686290</v>
      </c>
      <c r="J53" s="46">
        <f t="shared" si="9"/>
        <v>61686290</v>
      </c>
      <c r="K53" s="46">
        <f t="shared" si="9"/>
        <v>61686290</v>
      </c>
      <c r="L53" s="46">
        <f t="shared" si="9"/>
        <v>61686290</v>
      </c>
      <c r="M53" s="46">
        <f t="shared" si="9"/>
        <v>61686290</v>
      </c>
      <c r="N53" s="46">
        <f t="shared" si="9"/>
        <v>61686290</v>
      </c>
      <c r="O53" s="46">
        <f t="shared" si="9"/>
        <v>61686290</v>
      </c>
      <c r="P53" s="46">
        <f t="shared" si="9"/>
        <v>61686290</v>
      </c>
      <c r="Q53" s="47"/>
      <c r="R53" s="47"/>
      <c r="S53" s="91"/>
      <c r="T53" s="91"/>
      <c r="U53" s="139"/>
    </row>
    <row r="54" spans="1:21" s="85" customFormat="1" ht="12.75" customHeight="1" thickBot="1" x14ac:dyDescent="0.25">
      <c r="C54" s="108" t="s">
        <v>63</v>
      </c>
      <c r="D54" s="47"/>
      <c r="E54" s="109">
        <f>+E52+E53</f>
        <v>9844247.8599999994</v>
      </c>
      <c r="F54" s="109">
        <f t="shared" ref="F54:P54" si="10">+F52+F53</f>
        <v>37596300.140000001</v>
      </c>
      <c r="G54" s="109">
        <f t="shared" si="10"/>
        <v>215724594.16999999</v>
      </c>
      <c r="H54" s="109">
        <f t="shared" si="10"/>
        <v>215724594.16999999</v>
      </c>
      <c r="I54" s="109">
        <f t="shared" si="10"/>
        <v>215724594.16999999</v>
      </c>
      <c r="J54" s="109">
        <f t="shared" si="10"/>
        <v>215724594.16999999</v>
      </c>
      <c r="K54" s="109">
        <f t="shared" si="10"/>
        <v>215724594.16999999</v>
      </c>
      <c r="L54" s="109">
        <f t="shared" si="10"/>
        <v>215724594.16999999</v>
      </c>
      <c r="M54" s="109">
        <f t="shared" si="10"/>
        <v>215724594.16999999</v>
      </c>
      <c r="N54" s="109">
        <f t="shared" si="10"/>
        <v>215724594.16999999</v>
      </c>
      <c r="O54" s="109">
        <f t="shared" si="10"/>
        <v>215724594.16999999</v>
      </c>
      <c r="P54" s="109">
        <f t="shared" si="10"/>
        <v>215724594.16999999</v>
      </c>
      <c r="Q54" s="47"/>
      <c r="R54" s="47"/>
      <c r="S54" s="91"/>
      <c r="T54" s="91"/>
      <c r="U54" s="139"/>
    </row>
    <row r="55" spans="1:21" s="85" customFormat="1" ht="12.75" customHeight="1" x14ac:dyDescent="0.2">
      <c r="C55" s="110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91"/>
      <c r="T55" s="91"/>
      <c r="U55" s="139"/>
    </row>
    <row r="56" spans="1:21" ht="38.25" x14ac:dyDescent="0.2">
      <c r="A56" s="91"/>
      <c r="B56" s="134" t="str">
        <f>"(LOCAL &amp; OTHER)" &amp; "  " &amp; "Budgeted: " &amp; TEXT(B47,"$#,##0")  &amp; "  " &amp; "Actual: " &amp; TEXT(C47,"$#,##0") &amp; "  " &amp; TEXT(D47,"###.00%") &amp; CHAR(10) &amp; "(STATE)" &amp; "  " &amp; "Budgeted: " &amp; TEXT(B48,"$#,##0") &amp; "  " &amp; "Actual: " &amp; TEXT(C48,"$#,##0") &amp; "   " &amp; TEXT(D48,"###.00%") &amp; CHAR(10) &amp; "TOTAL Budgeted: " &amp; TEXT(B49,"$#,##0") &amp; "  " &amp; "Actual: " &amp; TEXT(C49,"$#,##0") &amp; "   " &amp; TEXT(D49,"###.00%")</f>
        <v>(LOCAL &amp; OTHER)  Budgeted: $986,923,398  Actual: $154,038,304  15.61%
(STATE)  Budgeted: $560,327,715  Actual: $61,686,290   11.01%
TOTAL Budgeted: $1,547,251,113  Actual: $215,724,594   13.94%</v>
      </c>
      <c r="C56" s="134"/>
      <c r="D56" s="134"/>
      <c r="E56" s="134"/>
      <c r="F56" s="134"/>
      <c r="G56" s="134"/>
      <c r="H56" s="134"/>
      <c r="I56" s="134"/>
      <c r="J56" s="134"/>
      <c r="K56" s="134"/>
      <c r="Q56" s="47"/>
      <c r="R56" s="135" t="s">
        <v>84</v>
      </c>
      <c r="T56" s="133"/>
      <c r="U56" s="133"/>
    </row>
    <row r="57" spans="1:21" x14ac:dyDescent="0.2">
      <c r="B57" s="153" t="str">
        <f>"(STATE)" &amp; CHAR(9) &amp; "Budgeted: " &amp; TEXT(B48,"$#,##0") &amp; CHAR(9) &amp; "Actual: " &amp; TEXT(C48,"$#,##0") &amp; "   " &amp; TEXT(D48,"###.00%")</f>
        <v>(STATE)	Budgeted: $560,327,715	Actual: $61,686,290   11.01%</v>
      </c>
      <c r="C57" s="153"/>
      <c r="D57" s="153"/>
      <c r="E57" s="153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123"/>
    </row>
    <row r="58" spans="1:21" x14ac:dyDescent="0.2">
      <c r="B58" s="153" t="str">
        <f>"TOTAL Budgeted: " &amp; TEXT(B49,"$#,##0") &amp; CHAR(9) &amp; "Actual: " &amp; TEXT(C49,"$#,##0") &amp; "   " &amp; TEXT(D49,"###.00%")</f>
        <v>TOTAL Budgeted: $1,547,251,113	Actual: $215,724,594   13.94%</v>
      </c>
      <c r="C58" s="153"/>
      <c r="D58" s="153"/>
      <c r="E58" s="153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6"/>
    </row>
    <row r="59" spans="1:21" x14ac:dyDescent="0.2">
      <c r="B59" s="111"/>
      <c r="C59" s="112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6"/>
    </row>
    <row r="60" spans="1:21" ht="13.5" thickBot="1" x14ac:dyDescent="0.25">
      <c r="B60" s="46"/>
      <c r="C60" s="91"/>
      <c r="E60" s="46"/>
      <c r="L60" s="47"/>
      <c r="M60" s="47"/>
      <c r="N60" s="47"/>
      <c r="O60" s="47"/>
      <c r="P60" s="47"/>
      <c r="Q60" s="47"/>
    </row>
    <row r="61" spans="1:21" s="91" customFormat="1" ht="26.25" thickBot="1" x14ac:dyDescent="0.25">
      <c r="A61" s="113" t="s">
        <v>32</v>
      </c>
      <c r="B61" s="114" t="s">
        <v>33</v>
      </c>
      <c r="P61" s="47"/>
      <c r="Q61" s="47"/>
      <c r="R61" s="47"/>
    </row>
    <row r="62" spans="1:21" s="91" customFormat="1" x14ac:dyDescent="0.2">
      <c r="A62" s="115" t="s">
        <v>8</v>
      </c>
      <c r="B62" s="116">
        <v>970273398</v>
      </c>
      <c r="C62" s="46"/>
      <c r="N62" s="117"/>
      <c r="O62" s="47"/>
      <c r="P62" s="47"/>
      <c r="Q62" s="47"/>
      <c r="R62" s="47"/>
    </row>
    <row r="63" spans="1:21" x14ac:dyDescent="0.2">
      <c r="A63" s="115" t="s">
        <v>9</v>
      </c>
      <c r="B63" s="116">
        <v>15000000</v>
      </c>
      <c r="C63" s="46"/>
      <c r="E63" s="46"/>
      <c r="G63" s="91"/>
      <c r="I63" s="91"/>
      <c r="J63" s="91"/>
      <c r="K63" s="91"/>
      <c r="L63" s="91"/>
      <c r="M63" s="47"/>
      <c r="N63" s="117"/>
      <c r="O63" s="118"/>
      <c r="P63" s="47"/>
      <c r="Q63" s="47"/>
    </row>
    <row r="64" spans="1:21" x14ac:dyDescent="0.2">
      <c r="A64" s="115" t="s">
        <v>10</v>
      </c>
      <c r="B64" s="116">
        <v>560327715</v>
      </c>
      <c r="C64" s="46"/>
      <c r="E64" s="46"/>
      <c r="G64" s="91"/>
      <c r="I64" s="91"/>
      <c r="J64" s="91"/>
      <c r="K64" s="91"/>
      <c r="L64" s="91"/>
      <c r="M64" s="47"/>
      <c r="N64" s="117"/>
      <c r="O64" s="118"/>
      <c r="P64" s="47"/>
      <c r="Q64" s="47"/>
    </row>
    <row r="65" spans="1:20" x14ac:dyDescent="0.2">
      <c r="A65" s="115" t="s">
        <v>74</v>
      </c>
      <c r="B65" s="46">
        <v>1650000</v>
      </c>
      <c r="E65" s="46"/>
      <c r="G65" s="91"/>
      <c r="I65" s="91"/>
      <c r="J65" s="91"/>
      <c r="K65" s="91"/>
      <c r="L65" s="91"/>
      <c r="M65" s="47"/>
      <c r="N65" s="117"/>
      <c r="O65" s="118"/>
      <c r="P65" s="47"/>
      <c r="Q65" s="47"/>
    </row>
    <row r="66" spans="1:20" ht="13.5" thickBot="1" x14ac:dyDescent="0.25">
      <c r="A66" s="115" t="s">
        <v>11</v>
      </c>
      <c r="B66" s="116">
        <v>0</v>
      </c>
      <c r="C66" s="46"/>
      <c r="D66" s="91"/>
      <c r="E66" s="46"/>
      <c r="G66" s="91"/>
      <c r="H66" s="46" t="str">
        <f xml:space="preserve"> CHAR(9)</f>
        <v xml:space="preserve">	</v>
      </c>
      <c r="I66" s="91"/>
      <c r="J66" s="91"/>
      <c r="K66" s="91"/>
      <c r="L66" s="91"/>
      <c r="M66" s="91"/>
      <c r="N66" s="47"/>
      <c r="O66" s="117"/>
      <c r="P66" s="118"/>
      <c r="Q66" s="47"/>
    </row>
    <row r="67" spans="1:20" ht="13.5" thickBot="1" x14ac:dyDescent="0.25">
      <c r="A67" s="119" t="s">
        <v>64</v>
      </c>
      <c r="B67" s="120">
        <f>SUM(B62:B66)</f>
        <v>1547251113</v>
      </c>
      <c r="C67" s="91"/>
      <c r="D67" s="91"/>
      <c r="E67" s="46"/>
      <c r="G67" s="91"/>
      <c r="I67" s="91"/>
      <c r="J67" s="91"/>
      <c r="K67" s="91"/>
      <c r="L67" s="91"/>
      <c r="M67" s="47"/>
      <c r="N67" s="117"/>
      <c r="O67" s="118"/>
      <c r="P67" s="47"/>
      <c r="Q67" s="47"/>
    </row>
    <row r="68" spans="1:20" ht="13.5" thickBot="1" x14ac:dyDescent="0.25">
      <c r="C68" s="46"/>
      <c r="D68" s="91"/>
      <c r="E68" s="46"/>
      <c r="I68" s="91"/>
      <c r="J68" s="91"/>
      <c r="K68" s="91"/>
      <c r="L68" s="91"/>
      <c r="M68" s="91"/>
      <c r="N68" s="47"/>
      <c r="O68" s="117"/>
      <c r="P68" s="118"/>
      <c r="Q68" s="47"/>
    </row>
    <row r="69" spans="1:20" ht="26.25" thickBot="1" x14ac:dyDescent="0.25">
      <c r="B69" s="108" t="s">
        <v>66</v>
      </c>
      <c r="C69" s="121" t="s">
        <v>65</v>
      </c>
      <c r="D69" s="91"/>
      <c r="E69" s="46"/>
      <c r="G69" s="91"/>
      <c r="H69" s="91"/>
      <c r="I69" s="91"/>
      <c r="J69" s="91"/>
      <c r="K69" s="91"/>
      <c r="L69" s="91"/>
      <c r="M69" s="47"/>
      <c r="N69" s="117"/>
      <c r="O69" s="118"/>
      <c r="P69" s="47"/>
      <c r="Q69" s="47"/>
    </row>
    <row r="70" spans="1:20" x14ac:dyDescent="0.2">
      <c r="A70" s="91" t="s">
        <v>8</v>
      </c>
      <c r="B70" s="46">
        <v>970273398</v>
      </c>
      <c r="C70" s="46">
        <v>148935723.22999999</v>
      </c>
      <c r="D70" s="91"/>
      <c r="E70" s="46"/>
      <c r="G70" s="91"/>
      <c r="H70" s="91"/>
      <c r="I70" s="91"/>
      <c r="J70" s="91"/>
      <c r="K70" s="91"/>
      <c r="L70" s="91"/>
      <c r="M70" s="47"/>
      <c r="N70" s="117"/>
      <c r="O70" s="118"/>
      <c r="P70" s="47"/>
      <c r="Q70" s="47"/>
    </row>
    <row r="71" spans="1:20" x14ac:dyDescent="0.2">
      <c r="A71" s="91" t="s">
        <v>9</v>
      </c>
      <c r="B71" s="46">
        <v>15000000</v>
      </c>
      <c r="C71" s="46">
        <v>5003552.7100000009</v>
      </c>
      <c r="D71" s="91"/>
      <c r="E71" s="46"/>
      <c r="G71" s="91"/>
      <c r="H71" s="91"/>
      <c r="I71" s="91"/>
      <c r="J71" s="91"/>
      <c r="K71" s="91"/>
      <c r="L71" s="91"/>
      <c r="M71" s="47"/>
      <c r="N71" s="117"/>
      <c r="O71" s="118"/>
      <c r="P71" s="47"/>
      <c r="Q71" s="47"/>
    </row>
    <row r="72" spans="1:20" x14ac:dyDescent="0.2">
      <c r="A72" s="91" t="s">
        <v>10</v>
      </c>
      <c r="B72" s="46">
        <v>560327715</v>
      </c>
      <c r="C72" s="46">
        <v>61686290</v>
      </c>
      <c r="D72" s="91"/>
      <c r="E72" s="46"/>
      <c r="G72" s="91"/>
      <c r="H72" s="91"/>
      <c r="I72" s="91"/>
      <c r="J72" s="91"/>
      <c r="K72" s="91"/>
      <c r="L72" s="91"/>
      <c r="M72" s="47"/>
      <c r="N72" s="117"/>
      <c r="O72" s="118"/>
      <c r="P72" s="47"/>
      <c r="Q72" s="47"/>
    </row>
    <row r="73" spans="1:20" x14ac:dyDescent="0.2">
      <c r="A73" s="80" t="s">
        <v>74</v>
      </c>
      <c r="B73" s="46">
        <v>1650000</v>
      </c>
      <c r="C73" s="46">
        <v>0</v>
      </c>
      <c r="D73" s="91"/>
      <c r="E73" s="46"/>
      <c r="G73" s="91"/>
      <c r="H73" s="91"/>
      <c r="I73" s="91"/>
      <c r="J73" s="91"/>
      <c r="K73" s="91"/>
      <c r="L73" s="91"/>
      <c r="M73" s="47"/>
      <c r="N73" s="117"/>
      <c r="O73" s="118"/>
      <c r="P73" s="47"/>
      <c r="Q73" s="47"/>
    </row>
    <row r="74" spans="1:20" x14ac:dyDescent="0.2">
      <c r="A74" s="91" t="s">
        <v>11</v>
      </c>
      <c r="B74" s="46">
        <v>0</v>
      </c>
      <c r="C74" s="46">
        <v>99028.23</v>
      </c>
      <c r="D74" s="91"/>
      <c r="E74" s="46"/>
      <c r="H74" s="91"/>
      <c r="I74" s="91"/>
      <c r="J74" s="91"/>
      <c r="K74" s="91"/>
      <c r="L74" s="91"/>
      <c r="M74" s="47"/>
      <c r="N74" s="117"/>
      <c r="O74" s="118"/>
      <c r="P74" s="47"/>
      <c r="Q74" s="47"/>
    </row>
    <row r="75" spans="1:20" x14ac:dyDescent="0.2">
      <c r="B75" s="46"/>
      <c r="E75" s="46"/>
      <c r="H75" s="91"/>
      <c r="I75" s="91"/>
      <c r="J75" s="91"/>
      <c r="K75" s="91"/>
      <c r="L75" s="91"/>
      <c r="M75" s="47"/>
      <c r="N75" s="117"/>
      <c r="O75" s="118"/>
      <c r="P75" s="47"/>
      <c r="Q75" s="47"/>
    </row>
    <row r="76" spans="1:20" x14ac:dyDescent="0.2">
      <c r="B76" s="46"/>
      <c r="E76" s="46"/>
      <c r="P76" s="47"/>
      <c r="Q76" s="47"/>
    </row>
    <row r="77" spans="1:20" x14ac:dyDescent="0.2">
      <c r="B77" s="46"/>
      <c r="E77" s="46"/>
      <c r="P77" s="47"/>
      <c r="Q77" s="47"/>
    </row>
    <row r="78" spans="1:20" ht="12.75" customHeight="1" x14ac:dyDescent="0.2">
      <c r="C78" s="123"/>
      <c r="D78" s="123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S78" s="47"/>
      <c r="T78" s="47"/>
    </row>
    <row r="79" spans="1:20" x14ac:dyDescent="0.2">
      <c r="E79" s="46"/>
      <c r="P79" s="47"/>
      <c r="Q79" s="47"/>
    </row>
    <row r="80" spans="1:20" x14ac:dyDescent="0.2">
      <c r="E80" s="46"/>
      <c r="P80" s="47"/>
      <c r="Q80" s="47"/>
    </row>
    <row r="81" spans="2:17" x14ac:dyDescent="0.2">
      <c r="B81" s="46"/>
      <c r="E81" s="46"/>
      <c r="P81" s="47"/>
      <c r="Q81" s="47"/>
    </row>
    <row r="82" spans="2:17" x14ac:dyDescent="0.2">
      <c r="B82" s="46"/>
      <c r="E82" s="46"/>
      <c r="P82" s="47"/>
      <c r="Q82" s="47"/>
    </row>
    <row r="83" spans="2:17" x14ac:dyDescent="0.2">
      <c r="E83" s="46"/>
      <c r="P83" s="47"/>
      <c r="Q83" s="47"/>
    </row>
    <row r="84" spans="2:17" x14ac:dyDescent="0.2">
      <c r="E84" s="46"/>
      <c r="P84" s="47"/>
      <c r="Q84" s="47"/>
    </row>
    <row r="85" spans="2:17" x14ac:dyDescent="0.2">
      <c r="E85" s="46"/>
      <c r="P85" s="47"/>
      <c r="Q85" s="47"/>
    </row>
    <row r="86" spans="2:17" x14ac:dyDescent="0.2">
      <c r="E86" s="46"/>
      <c r="P86" s="47"/>
      <c r="Q86" s="47"/>
    </row>
    <row r="87" spans="2:17" x14ac:dyDescent="0.2">
      <c r="E87" s="46"/>
      <c r="Q87" s="47"/>
    </row>
    <row r="88" spans="2:17" x14ac:dyDescent="0.2">
      <c r="E88" s="46"/>
      <c r="Q88" s="47"/>
    </row>
    <row r="89" spans="2:17" x14ac:dyDescent="0.2">
      <c r="E89" s="46"/>
      <c r="Q89" s="47"/>
    </row>
    <row r="90" spans="2:17" x14ac:dyDescent="0.2">
      <c r="E90" s="46"/>
      <c r="Q90" s="47"/>
    </row>
    <row r="91" spans="2:17" x14ac:dyDescent="0.2">
      <c r="E91" s="46"/>
      <c r="Q91" s="47"/>
    </row>
    <row r="92" spans="2:17" x14ac:dyDescent="0.2">
      <c r="E92" s="46"/>
      <c r="Q92" s="47"/>
    </row>
    <row r="93" spans="2:17" x14ac:dyDescent="0.2">
      <c r="E93" s="46"/>
      <c r="Q93" s="47"/>
    </row>
    <row r="94" spans="2:17" x14ac:dyDescent="0.2">
      <c r="E94" s="46"/>
      <c r="Q94" s="47"/>
    </row>
    <row r="95" spans="2:17" x14ac:dyDescent="0.2">
      <c r="E95" s="46"/>
      <c r="Q95" s="47"/>
    </row>
    <row r="96" spans="2:17" x14ac:dyDescent="0.2">
      <c r="E96" s="46"/>
      <c r="Q96" s="47"/>
    </row>
    <row r="97" spans="5:17" x14ac:dyDescent="0.2">
      <c r="E97" s="46"/>
      <c r="Q97" s="47"/>
    </row>
    <row r="98" spans="5:17" x14ac:dyDescent="0.2">
      <c r="E98" s="46"/>
      <c r="Q98" s="47"/>
    </row>
  </sheetData>
  <mergeCells count="8">
    <mergeCell ref="B57:E57"/>
    <mergeCell ref="B58:E58"/>
    <mergeCell ref="C51:D51"/>
    <mergeCell ref="A1:G1"/>
    <mergeCell ref="A3:G3"/>
    <mergeCell ref="B27:F27"/>
    <mergeCell ref="B29:F29"/>
    <mergeCell ref="A37:F3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V106"/>
  <sheetViews>
    <sheetView workbookViewId="0">
      <selection sqref="A1:I1"/>
    </sheetView>
  </sheetViews>
  <sheetFormatPr defaultRowHeight="15" x14ac:dyDescent="0.25"/>
  <cols>
    <col min="1" max="1" width="51.7109375" style="1" customWidth="1"/>
    <col min="2" max="3" width="15.42578125" style="28" bestFit="1" customWidth="1"/>
    <col min="4" max="4" width="13.85546875" style="28" customWidth="1"/>
    <col min="5" max="5" width="14.7109375" style="28" bestFit="1" customWidth="1"/>
    <col min="6" max="6" width="16.85546875" style="28" customWidth="1"/>
    <col min="7" max="7" width="14.7109375" style="28" bestFit="1" customWidth="1"/>
    <col min="8" max="8" width="15.7109375" style="28" customWidth="1"/>
    <col min="9" max="9" width="13.5703125" style="1" customWidth="1"/>
    <col min="10" max="10" width="2.42578125" style="1" customWidth="1"/>
    <col min="11" max="11" width="25.7109375" style="1" bestFit="1" customWidth="1"/>
    <col min="12" max="13" width="14.5703125" style="129" bestFit="1" customWidth="1"/>
    <col min="14" max="15" width="14.140625" style="129" customWidth="1"/>
    <col min="16" max="16" width="13.7109375" style="129" customWidth="1"/>
    <col min="17" max="19" width="9.140625" style="1"/>
    <col min="20" max="21" width="12.42578125" style="1" bestFit="1" customWidth="1"/>
    <col min="22" max="16384" width="9.140625" style="1"/>
  </cols>
  <sheetData>
    <row r="1" spans="1:22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22" ht="18.75" x14ac:dyDescent="0.3">
      <c r="A2" s="151" t="s">
        <v>78</v>
      </c>
      <c r="B2" s="151"/>
      <c r="C2" s="151"/>
      <c r="D2" s="151"/>
      <c r="E2" s="151"/>
      <c r="F2" s="151"/>
      <c r="G2" s="151"/>
      <c r="H2" s="151"/>
      <c r="I2" s="151"/>
    </row>
    <row r="3" spans="1:22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</row>
    <row r="4" spans="1:22" x14ac:dyDescent="0.25">
      <c r="A4" s="152">
        <v>45565</v>
      </c>
      <c r="B4" s="152"/>
      <c r="C4" s="152"/>
      <c r="D4" s="152"/>
      <c r="E4" s="152"/>
      <c r="F4" s="152"/>
      <c r="G4" s="152"/>
      <c r="H4" s="152"/>
      <c r="I4" s="152"/>
    </row>
    <row r="5" spans="1:22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</row>
    <row r="6" spans="1:22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L7" s="130"/>
      <c r="M7" s="130"/>
      <c r="N7" s="130"/>
      <c r="O7" s="130"/>
      <c r="P7" s="130"/>
    </row>
    <row r="8" spans="1:22" s="5" customFormat="1" x14ac:dyDescent="0.2">
      <c r="A8" s="6" t="s">
        <v>8</v>
      </c>
      <c r="B8" s="7">
        <v>217465.57</v>
      </c>
      <c r="C8" s="7">
        <v>8562001.3200000003</v>
      </c>
      <c r="D8" s="7">
        <v>1807672.14</v>
      </c>
      <c r="E8" s="7">
        <v>3036133.0999999996</v>
      </c>
      <c r="F8" s="7">
        <v>0</v>
      </c>
      <c r="G8" s="7">
        <f t="shared" ref="G8:G12" si="0">SUM(E8:F8)</f>
        <v>3036133.0999999996</v>
      </c>
      <c r="H8" s="7">
        <f t="shared" ref="H8:H12" si="1">C8-G8</f>
        <v>5525868.2200000007</v>
      </c>
      <c r="I8" s="37">
        <f>IF(C8=0,"NA",H8/C8)</f>
        <v>0.64539446018212021</v>
      </c>
      <c r="K8"/>
      <c r="L8" s="138"/>
      <c r="M8" s="138"/>
      <c r="N8" s="138"/>
      <c r="O8" s="138"/>
      <c r="P8" s="138"/>
      <c r="R8" s="130"/>
      <c r="S8" s="130"/>
      <c r="T8" s="130"/>
      <c r="U8" s="130"/>
      <c r="V8" s="130"/>
    </row>
    <row r="9" spans="1:22" s="5" customFormat="1" x14ac:dyDescent="0.2">
      <c r="A9" s="6" t="s">
        <v>9</v>
      </c>
      <c r="B9" s="7">
        <v>0</v>
      </c>
      <c r="C9" s="7">
        <v>0</v>
      </c>
      <c r="D9" s="7">
        <v>1332.3</v>
      </c>
      <c r="E9" s="7">
        <v>4175.28</v>
      </c>
      <c r="F9" s="7">
        <v>0</v>
      </c>
      <c r="G9" s="7">
        <f t="shared" si="0"/>
        <v>4175.28</v>
      </c>
      <c r="H9" s="7">
        <f t="shared" si="1"/>
        <v>-4175.28</v>
      </c>
      <c r="I9" s="37" t="str">
        <f>IF(C9=0,"NA",H9/C9)</f>
        <v>NA</v>
      </c>
      <c r="K9"/>
      <c r="L9" s="138"/>
      <c r="M9" s="138"/>
      <c r="N9" s="138"/>
      <c r="O9" s="138"/>
      <c r="P9" s="138"/>
      <c r="R9" s="130"/>
      <c r="S9" s="130"/>
      <c r="T9" s="130"/>
      <c r="U9" s="130"/>
      <c r="V9" s="130"/>
    </row>
    <row r="10" spans="1:22" s="5" customFormat="1" x14ac:dyDescent="0.2">
      <c r="A10" s="6" t="s">
        <v>10</v>
      </c>
      <c r="B10" s="7">
        <v>0</v>
      </c>
      <c r="C10" s="7">
        <v>9962715.1899999995</v>
      </c>
      <c r="D10" s="7">
        <v>1731776.87</v>
      </c>
      <c r="E10" s="7">
        <v>3818757.09</v>
      </c>
      <c r="F10" s="7">
        <v>0</v>
      </c>
      <c r="G10" s="7">
        <f t="shared" si="0"/>
        <v>3818757.09</v>
      </c>
      <c r="H10" s="7">
        <f t="shared" si="1"/>
        <v>6143958.0999999996</v>
      </c>
      <c r="I10" s="37">
        <f>IF(C10=0,"NA",H10/C10)</f>
        <v>0.61669514613515719</v>
      </c>
      <c r="K10"/>
      <c r="L10" s="138"/>
      <c r="M10" s="138"/>
      <c r="N10" s="138"/>
      <c r="O10" s="138"/>
      <c r="P10" s="138"/>
      <c r="R10" s="130"/>
      <c r="S10" s="130"/>
      <c r="T10" s="130"/>
      <c r="U10" s="130"/>
      <c r="V10" s="130"/>
    </row>
    <row r="11" spans="1:22" s="5" customFormat="1" x14ac:dyDescent="0.2">
      <c r="A11" s="6" t="s">
        <v>74</v>
      </c>
      <c r="B11" s="7">
        <v>596970244.97000003</v>
      </c>
      <c r="C11" s="7">
        <v>999408324.20999992</v>
      </c>
      <c r="D11" s="7">
        <v>73538.740000000005</v>
      </c>
      <c r="E11" s="7">
        <v>233176.3</v>
      </c>
      <c r="F11" s="7">
        <v>0</v>
      </c>
      <c r="G11" s="7">
        <f t="shared" si="0"/>
        <v>233176.3</v>
      </c>
      <c r="H11" s="7">
        <f t="shared" si="1"/>
        <v>999175147.90999997</v>
      </c>
      <c r="I11" s="37">
        <f>IF(C11=0,"NA",H11/C11)</f>
        <v>0.99976668565354976</v>
      </c>
      <c r="K11"/>
      <c r="L11" s="138"/>
      <c r="M11" s="138"/>
      <c r="N11" s="138"/>
      <c r="O11" s="138"/>
      <c r="P11" s="138"/>
      <c r="R11" s="130"/>
      <c r="S11" s="130"/>
      <c r="T11" s="130"/>
      <c r="U11" s="130"/>
      <c r="V11" s="130"/>
    </row>
    <row r="12" spans="1:22" s="5" customFormat="1" x14ac:dyDescent="0.2">
      <c r="A12" s="8" t="s">
        <v>11</v>
      </c>
      <c r="B12" s="7">
        <v>474899.79999999981</v>
      </c>
      <c r="C12" s="7">
        <v>727121.15999999968</v>
      </c>
      <c r="D12" s="7">
        <v>15385.1</v>
      </c>
      <c r="E12" s="7">
        <v>1019036.13</v>
      </c>
      <c r="F12" s="7">
        <v>0</v>
      </c>
      <c r="G12" s="7">
        <f t="shared" si="0"/>
        <v>1019036.13</v>
      </c>
      <c r="H12" s="7">
        <f t="shared" si="1"/>
        <v>-291914.97000000032</v>
      </c>
      <c r="I12" s="37">
        <f>IF(C12=0,"NA",H12/C12)</f>
        <v>-0.40146675142833205</v>
      </c>
      <c r="K12" s="138"/>
      <c r="L12" s="138"/>
      <c r="M12" s="138"/>
      <c r="N12" s="138"/>
      <c r="O12" s="138"/>
      <c r="P12" s="138"/>
      <c r="R12" s="130"/>
      <c r="S12" s="130"/>
      <c r="T12" s="130"/>
      <c r="U12" s="130"/>
      <c r="V12" s="130"/>
    </row>
    <row r="13" spans="1:22" s="5" customFormat="1" ht="24.95" customHeight="1" x14ac:dyDescent="0.25">
      <c r="A13" s="10" t="s">
        <v>12</v>
      </c>
      <c r="B13" s="11">
        <f>SUM(B8:B12)</f>
        <v>597662610.34000003</v>
      </c>
      <c r="C13" s="11">
        <f t="shared" ref="C13:H13" si="2">SUM(C8:C12)</f>
        <v>1018660161.8799999</v>
      </c>
      <c r="D13" s="11">
        <f t="shared" si="2"/>
        <v>3629705.1500000004</v>
      </c>
      <c r="E13" s="11">
        <f t="shared" si="2"/>
        <v>8111277.8999999985</v>
      </c>
      <c r="F13" s="11">
        <f t="shared" si="2"/>
        <v>0</v>
      </c>
      <c r="G13" s="11">
        <f t="shared" si="2"/>
        <v>8111277.8999999985</v>
      </c>
      <c r="H13" s="11">
        <f t="shared" si="2"/>
        <v>1010548883.9799999</v>
      </c>
      <c r="I13" s="34">
        <f>IF(C13=0,"",H13/C13)</f>
        <v>0.99203730723597738</v>
      </c>
      <c r="L13" s="1"/>
      <c r="M13" s="1"/>
      <c r="N13" s="1"/>
      <c r="O13" s="1"/>
      <c r="P13" s="1"/>
      <c r="Q13" s="1"/>
      <c r="R13" s="1"/>
      <c r="S13" s="1"/>
    </row>
    <row r="14" spans="1:22" s="5" customFormat="1" x14ac:dyDescent="0.2">
      <c r="A14" s="12" t="s">
        <v>13</v>
      </c>
      <c r="B14" s="13">
        <v>145526644.67999992</v>
      </c>
      <c r="C14" s="13">
        <v>351232339.93000025</v>
      </c>
      <c r="D14" s="13">
        <v>28263873.200000007</v>
      </c>
      <c r="E14" s="13">
        <v>36616783.69000002</v>
      </c>
      <c r="F14" s="13">
        <v>11898380.520000001</v>
      </c>
      <c r="G14" s="13">
        <f t="shared" ref="G14:G32" si="3">SUM(E14:F14)</f>
        <v>48515164.210000023</v>
      </c>
      <c r="H14" s="13">
        <f t="shared" ref="H14:H32" si="4">C14-G14</f>
        <v>302717175.72000021</v>
      </c>
      <c r="I14" s="35">
        <f>IF(C14=0,"NA",H14/C14)</f>
        <v>0.86187159126728197</v>
      </c>
      <c r="L14" s="130"/>
      <c r="M14" s="130"/>
      <c r="N14" s="130"/>
      <c r="O14" s="130"/>
      <c r="P14" s="130"/>
      <c r="R14" s="130"/>
      <c r="S14" s="130"/>
      <c r="T14" s="130"/>
      <c r="U14" s="130"/>
      <c r="V14" s="130"/>
    </row>
    <row r="15" spans="1:22" s="5" customFormat="1" x14ac:dyDescent="0.2">
      <c r="A15" s="6" t="s">
        <v>14</v>
      </c>
      <c r="B15" s="7">
        <v>79877834.019999981</v>
      </c>
      <c r="C15" s="7">
        <v>115998161.12999997</v>
      </c>
      <c r="D15" s="7">
        <v>4106355.3200000003</v>
      </c>
      <c r="E15" s="7">
        <v>7255190.3200000012</v>
      </c>
      <c r="F15" s="7">
        <v>5257513.7200000025</v>
      </c>
      <c r="G15" s="7">
        <f t="shared" si="3"/>
        <v>12512704.040000003</v>
      </c>
      <c r="H15" s="7">
        <f t="shared" si="4"/>
        <v>103485457.08999996</v>
      </c>
      <c r="I15" s="37">
        <f t="shared" ref="I15:I32" si="5">IF(C15=0,"NA",H15/C15)</f>
        <v>0.89213015173596644</v>
      </c>
      <c r="L15" s="130"/>
      <c r="M15" s="130"/>
      <c r="N15" s="130"/>
      <c r="O15" s="130"/>
      <c r="P15" s="130"/>
      <c r="R15" s="130"/>
      <c r="S15" s="130"/>
      <c r="T15" s="130"/>
      <c r="U15" s="130"/>
      <c r="V15" s="130"/>
    </row>
    <row r="16" spans="1:22" s="5" customFormat="1" x14ac:dyDescent="0.2">
      <c r="A16" s="6" t="s">
        <v>15</v>
      </c>
      <c r="B16" s="7">
        <v>27469876.149999999</v>
      </c>
      <c r="C16" s="7">
        <v>8736214.259999983</v>
      </c>
      <c r="D16" s="7">
        <v>196734.78999999998</v>
      </c>
      <c r="E16" s="7">
        <v>602380.99</v>
      </c>
      <c r="F16" s="7">
        <v>284514.88000000006</v>
      </c>
      <c r="G16" s="7">
        <f t="shared" si="3"/>
        <v>886895.87000000011</v>
      </c>
      <c r="H16" s="7">
        <f t="shared" si="4"/>
        <v>7849318.3899999829</v>
      </c>
      <c r="I16" s="37">
        <f t="shared" si="5"/>
        <v>0.89848052673561585</v>
      </c>
      <c r="L16" s="130"/>
      <c r="M16" s="130"/>
      <c r="N16" s="130"/>
      <c r="O16" s="130"/>
      <c r="P16" s="130"/>
      <c r="R16" s="130"/>
      <c r="S16" s="130"/>
      <c r="T16" s="130"/>
      <c r="U16" s="130"/>
      <c r="V16" s="130"/>
    </row>
    <row r="17" spans="1:22" s="5" customFormat="1" x14ac:dyDescent="0.2">
      <c r="A17" s="6" t="s">
        <v>16</v>
      </c>
      <c r="B17" s="7">
        <v>107800993.57000001</v>
      </c>
      <c r="C17" s="7">
        <v>202649825.82000011</v>
      </c>
      <c r="D17" s="7">
        <v>4361012.4999999963</v>
      </c>
      <c r="E17" s="7">
        <v>6558591.8399999943</v>
      </c>
      <c r="F17" s="7">
        <v>234299.77</v>
      </c>
      <c r="G17" s="7">
        <f t="shared" si="3"/>
        <v>6792891.6099999938</v>
      </c>
      <c r="H17" s="7">
        <f t="shared" si="4"/>
        <v>195856934.21000013</v>
      </c>
      <c r="I17" s="37">
        <f t="shared" si="5"/>
        <v>0.96647965729793595</v>
      </c>
      <c r="L17" s="130"/>
      <c r="M17" s="130"/>
      <c r="N17" s="130"/>
      <c r="O17" s="130"/>
      <c r="P17" s="130"/>
      <c r="R17" s="130"/>
      <c r="S17" s="130"/>
      <c r="T17" s="130"/>
      <c r="U17" s="130"/>
      <c r="V17" s="130"/>
    </row>
    <row r="18" spans="1:22" s="5" customFormat="1" x14ac:dyDescent="0.2">
      <c r="A18" s="6" t="s">
        <v>17</v>
      </c>
      <c r="B18" s="7">
        <v>3057959.69</v>
      </c>
      <c r="C18" s="7">
        <v>3448414.4899999998</v>
      </c>
      <c r="D18" s="7">
        <v>6963.9699999999993</v>
      </c>
      <c r="E18" s="7">
        <v>25698.5</v>
      </c>
      <c r="F18" s="7">
        <v>0</v>
      </c>
      <c r="G18" s="7">
        <f t="shared" si="3"/>
        <v>25698.5</v>
      </c>
      <c r="H18" s="7">
        <f t="shared" si="4"/>
        <v>3422715.9899999998</v>
      </c>
      <c r="I18" s="37">
        <f t="shared" si="5"/>
        <v>0.99254773459671897</v>
      </c>
      <c r="L18" s="130"/>
      <c r="M18" s="130"/>
      <c r="N18" s="130"/>
      <c r="O18" s="130"/>
      <c r="P18" s="130"/>
      <c r="R18" s="130"/>
      <c r="S18" s="130"/>
      <c r="T18" s="130"/>
      <c r="U18" s="130"/>
      <c r="V18" s="130"/>
    </row>
    <row r="19" spans="1:22" s="5" customFormat="1" x14ac:dyDescent="0.2">
      <c r="A19" s="6" t="s">
        <v>71</v>
      </c>
      <c r="B19" s="7">
        <v>7985473.1000000052</v>
      </c>
      <c r="C19" s="7">
        <v>23944127.600000001</v>
      </c>
      <c r="D19" s="7">
        <v>441114.46000000008</v>
      </c>
      <c r="E19" s="7">
        <v>1183105.0300000003</v>
      </c>
      <c r="F19" s="7">
        <v>115777.29000000001</v>
      </c>
      <c r="G19" s="7">
        <f>SUM(E19:F19)</f>
        <v>1298882.3200000003</v>
      </c>
      <c r="H19" s="7">
        <f>C19-G19</f>
        <v>22645245.280000001</v>
      </c>
      <c r="I19" s="37">
        <f t="shared" si="5"/>
        <v>0.94575361684925197</v>
      </c>
      <c r="L19" s="130"/>
      <c r="M19" s="130"/>
      <c r="N19" s="130"/>
      <c r="O19" s="130"/>
      <c r="P19" s="130"/>
      <c r="R19" s="130"/>
      <c r="S19" s="130"/>
      <c r="T19" s="130"/>
      <c r="U19" s="130"/>
      <c r="V19" s="130"/>
    </row>
    <row r="20" spans="1:22" s="5" customFormat="1" x14ac:dyDescent="0.2">
      <c r="A20" s="6" t="s">
        <v>18</v>
      </c>
      <c r="B20" s="7">
        <v>56064020.040000007</v>
      </c>
      <c r="C20" s="7">
        <v>64463776.68000003</v>
      </c>
      <c r="D20" s="7">
        <v>224607.56000000003</v>
      </c>
      <c r="E20" s="7">
        <v>569526.39</v>
      </c>
      <c r="F20" s="7">
        <v>12211.86</v>
      </c>
      <c r="G20" s="7">
        <f t="shared" si="3"/>
        <v>581738.25</v>
      </c>
      <c r="H20" s="7">
        <f t="shared" si="4"/>
        <v>63882038.43000003</v>
      </c>
      <c r="I20" s="37">
        <f t="shared" si="5"/>
        <v>0.99097573428116437</v>
      </c>
      <c r="L20" s="130"/>
      <c r="M20" s="130"/>
      <c r="N20" s="130"/>
      <c r="O20" s="130"/>
      <c r="P20" s="130"/>
      <c r="R20" s="130"/>
      <c r="S20" s="130"/>
      <c r="T20" s="130"/>
      <c r="U20" s="130"/>
      <c r="V20" s="130"/>
    </row>
    <row r="21" spans="1:22" s="5" customFormat="1" x14ac:dyDescent="0.2">
      <c r="A21" s="6" t="s">
        <v>19</v>
      </c>
      <c r="B21" s="7">
        <v>27471805.48</v>
      </c>
      <c r="C21" s="7">
        <v>9339778.4199999981</v>
      </c>
      <c r="D21" s="7">
        <v>244042.72000000003</v>
      </c>
      <c r="E21" s="7">
        <v>372634.3</v>
      </c>
      <c r="F21" s="7">
        <v>297682.86</v>
      </c>
      <c r="G21" s="7">
        <f t="shared" si="3"/>
        <v>670317.15999999992</v>
      </c>
      <c r="H21" s="7">
        <f t="shared" si="4"/>
        <v>8669461.2599999979</v>
      </c>
      <c r="I21" s="37">
        <f t="shared" si="5"/>
        <v>0.92822986479373026</v>
      </c>
      <c r="L21" s="130"/>
      <c r="M21" s="130"/>
      <c r="N21" s="130"/>
      <c r="O21" s="130"/>
      <c r="P21" s="130"/>
      <c r="R21" s="130"/>
      <c r="S21" s="130"/>
      <c r="T21" s="130"/>
      <c r="U21" s="130"/>
      <c r="V21" s="130"/>
    </row>
    <row r="22" spans="1:22" s="5" customFormat="1" x14ac:dyDescent="0.2">
      <c r="A22" s="6" t="s">
        <v>20</v>
      </c>
      <c r="B22" s="7">
        <v>26127239.84</v>
      </c>
      <c r="C22" s="7">
        <v>884271.74000000011</v>
      </c>
      <c r="D22" s="7">
        <v>23230.769999999997</v>
      </c>
      <c r="E22" s="7">
        <v>119311.69</v>
      </c>
      <c r="F22" s="7">
        <v>211604.95</v>
      </c>
      <c r="G22" s="7">
        <f t="shared" si="3"/>
        <v>330916.64</v>
      </c>
      <c r="H22" s="7">
        <f t="shared" si="4"/>
        <v>553355.10000000009</v>
      </c>
      <c r="I22" s="37">
        <f t="shared" si="5"/>
        <v>0.62577494560665259</v>
      </c>
      <c r="L22" s="130"/>
      <c r="M22" s="130"/>
      <c r="N22" s="130"/>
      <c r="O22" s="130"/>
      <c r="P22" s="130"/>
      <c r="R22" s="130"/>
      <c r="S22" s="130"/>
      <c r="T22" s="130"/>
      <c r="U22" s="130"/>
      <c r="V22" s="130"/>
    </row>
    <row r="23" spans="1:22" s="5" customFormat="1" x14ac:dyDescent="0.2">
      <c r="A23" s="6" t="s">
        <v>70</v>
      </c>
      <c r="B23" s="7">
        <v>75396290.950000018</v>
      </c>
      <c r="C23" s="7">
        <v>64963234.150000013</v>
      </c>
      <c r="D23" s="7">
        <v>18990.5</v>
      </c>
      <c r="E23" s="7">
        <v>2584096.54</v>
      </c>
      <c r="F23" s="7">
        <v>451903.25000000006</v>
      </c>
      <c r="G23" s="7">
        <f t="shared" si="3"/>
        <v>3035999.79</v>
      </c>
      <c r="H23" s="7">
        <f t="shared" si="4"/>
        <v>61927234.360000014</v>
      </c>
      <c r="I23" s="37">
        <f t="shared" si="5"/>
        <v>0.95326587677285468</v>
      </c>
      <c r="L23" s="130"/>
      <c r="M23" s="130"/>
      <c r="N23" s="130"/>
      <c r="O23" s="130"/>
      <c r="P23" s="130"/>
      <c r="R23" s="130"/>
      <c r="S23" s="130"/>
      <c r="T23" s="130"/>
      <c r="U23" s="130"/>
      <c r="V23" s="130"/>
    </row>
    <row r="24" spans="1:22" s="5" customFormat="1" x14ac:dyDescent="0.2">
      <c r="A24" s="6" t="s">
        <v>76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/>
      <c r="H24" s="7"/>
      <c r="I24" s="37"/>
      <c r="L24" s="130"/>
      <c r="M24" s="130"/>
      <c r="N24" s="130"/>
      <c r="O24" s="130"/>
      <c r="P24" s="130"/>
      <c r="R24" s="130"/>
      <c r="S24" s="130"/>
      <c r="T24" s="130"/>
      <c r="U24" s="130"/>
      <c r="V24" s="130"/>
    </row>
    <row r="25" spans="1:22" s="5" customFormat="1" x14ac:dyDescent="0.2">
      <c r="A25" s="6" t="s">
        <v>21</v>
      </c>
      <c r="B25" s="7">
        <v>31122108.640000001</v>
      </c>
      <c r="C25" s="7">
        <v>31727770.550000001</v>
      </c>
      <c r="D25" s="7">
        <v>311689.98</v>
      </c>
      <c r="E25" s="7">
        <v>337372.08000000007</v>
      </c>
      <c r="F25" s="7">
        <v>2671144.34</v>
      </c>
      <c r="G25" s="7">
        <f t="shared" si="3"/>
        <v>3008516.42</v>
      </c>
      <c r="H25" s="7">
        <f t="shared" si="4"/>
        <v>28719254.130000003</v>
      </c>
      <c r="I25" s="37">
        <f t="shared" si="5"/>
        <v>0.90517718806435332</v>
      </c>
      <c r="L25" s="130"/>
      <c r="M25" s="130"/>
      <c r="N25" s="130"/>
      <c r="O25" s="130"/>
      <c r="P25" s="130"/>
      <c r="R25" s="130"/>
      <c r="S25" s="130"/>
      <c r="T25" s="130"/>
      <c r="U25" s="130"/>
      <c r="V25" s="130"/>
    </row>
    <row r="26" spans="1:22" s="5" customFormat="1" x14ac:dyDescent="0.2">
      <c r="A26" s="6" t="s">
        <v>22</v>
      </c>
      <c r="B26" s="7">
        <v>80303573.890000001</v>
      </c>
      <c r="C26" s="7">
        <v>8032788.2600000035</v>
      </c>
      <c r="D26" s="7">
        <v>182621.88999999996</v>
      </c>
      <c r="E26" s="7">
        <v>543934.84</v>
      </c>
      <c r="F26" s="7">
        <v>122789.66</v>
      </c>
      <c r="G26" s="7">
        <f t="shared" si="3"/>
        <v>666724.5</v>
      </c>
      <c r="H26" s="7">
        <f t="shared" si="4"/>
        <v>7366063.7600000035</v>
      </c>
      <c r="I26" s="37">
        <f t="shared" si="5"/>
        <v>0.9169996172661472</v>
      </c>
      <c r="L26" s="130"/>
      <c r="M26" s="130"/>
      <c r="N26" s="130"/>
      <c r="O26" s="130"/>
      <c r="P26" s="130"/>
      <c r="R26" s="130"/>
      <c r="S26" s="130"/>
      <c r="T26" s="130"/>
      <c r="U26" s="130"/>
      <c r="V26" s="130"/>
    </row>
    <row r="27" spans="1:22" s="5" customFormat="1" x14ac:dyDescent="0.2">
      <c r="A27" s="6" t="s">
        <v>23</v>
      </c>
      <c r="B27" s="7">
        <v>753025.58000000019</v>
      </c>
      <c r="C27" s="7">
        <v>781671.33000000007</v>
      </c>
      <c r="D27" s="7">
        <v>36081.78</v>
      </c>
      <c r="E27" s="7">
        <v>229303.59</v>
      </c>
      <c r="F27" s="7">
        <v>5147.3099999999995</v>
      </c>
      <c r="G27" s="7">
        <f t="shared" si="3"/>
        <v>234450.9</v>
      </c>
      <c r="H27" s="7">
        <f t="shared" si="4"/>
        <v>547220.43000000005</v>
      </c>
      <c r="I27" s="37">
        <f t="shared" si="5"/>
        <v>0.70006460387897307</v>
      </c>
      <c r="L27" s="130"/>
      <c r="M27" s="130"/>
      <c r="N27" s="130"/>
      <c r="O27" s="130"/>
      <c r="P27" s="130"/>
      <c r="R27" s="130"/>
      <c r="S27" s="130"/>
      <c r="T27" s="130"/>
      <c r="U27" s="130"/>
      <c r="V27" s="130"/>
    </row>
    <row r="28" spans="1:22" s="5" customFormat="1" x14ac:dyDescent="0.2">
      <c r="A28" s="6" t="s">
        <v>29</v>
      </c>
      <c r="B28" s="7">
        <v>53744641</v>
      </c>
      <c r="C28" s="7">
        <v>23104003.510000005</v>
      </c>
      <c r="D28" s="7">
        <v>2627.32</v>
      </c>
      <c r="E28" s="7">
        <v>2627.32</v>
      </c>
      <c r="F28" s="7">
        <v>41665.17</v>
      </c>
      <c r="G28" s="7">
        <f t="shared" si="3"/>
        <v>44292.49</v>
      </c>
      <c r="H28" s="7">
        <f t="shared" si="4"/>
        <v>23059711.020000007</v>
      </c>
      <c r="I28" s="37">
        <f t="shared" si="5"/>
        <v>0.99808290844568015</v>
      </c>
      <c r="L28" s="130"/>
      <c r="M28" s="130"/>
      <c r="N28" s="130"/>
      <c r="O28" s="130"/>
      <c r="P28" s="130"/>
      <c r="R28" s="130"/>
      <c r="S28" s="130"/>
      <c r="T28" s="130"/>
      <c r="U28" s="130"/>
      <c r="V28" s="130"/>
    </row>
    <row r="29" spans="1:22" s="5" customFormat="1" x14ac:dyDescent="0.2">
      <c r="A29" s="6" t="s">
        <v>30</v>
      </c>
      <c r="B29" s="7">
        <v>4354000</v>
      </c>
      <c r="C29" s="7">
        <v>4354500</v>
      </c>
      <c r="D29" s="7">
        <v>501755.26</v>
      </c>
      <c r="E29" s="7">
        <v>767503.7</v>
      </c>
      <c r="F29" s="7">
        <v>908737.28</v>
      </c>
      <c r="G29" s="7">
        <f t="shared" si="3"/>
        <v>1676240.98</v>
      </c>
      <c r="H29" s="7">
        <f t="shared" si="4"/>
        <v>2678259.02</v>
      </c>
      <c r="I29" s="37">
        <f t="shared" si="5"/>
        <v>0.61505546446205073</v>
      </c>
      <c r="L29" s="130"/>
      <c r="M29" s="130"/>
      <c r="N29" s="130"/>
      <c r="O29" s="130"/>
      <c r="P29" s="130"/>
      <c r="R29" s="130"/>
      <c r="S29" s="130"/>
      <c r="T29" s="130"/>
      <c r="U29" s="130"/>
      <c r="V29" s="130"/>
    </row>
    <row r="30" spans="1:22" s="5" customFormat="1" x14ac:dyDescent="0.2">
      <c r="A30" s="6" t="s">
        <v>72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f t="shared" ref="G30" si="6">SUM(E30:F30)</f>
        <v>0</v>
      </c>
      <c r="H30" s="7">
        <f t="shared" ref="H30" si="7">C30-G30</f>
        <v>0</v>
      </c>
      <c r="I30" s="37" t="str">
        <f t="shared" si="5"/>
        <v>NA</v>
      </c>
      <c r="L30" s="130"/>
      <c r="M30" s="130"/>
      <c r="N30" s="130"/>
      <c r="O30" s="130"/>
      <c r="P30" s="130"/>
      <c r="R30" s="130"/>
      <c r="S30" s="130"/>
      <c r="T30" s="130"/>
      <c r="U30" s="130"/>
      <c r="V30" s="130"/>
    </row>
    <row r="31" spans="1:22" s="5" customFormat="1" x14ac:dyDescent="0.2">
      <c r="A31" s="6" t="s">
        <v>73</v>
      </c>
      <c r="B31" s="7">
        <v>158786775.40000001</v>
      </c>
      <c r="C31" s="7">
        <v>89803056.319999978</v>
      </c>
      <c r="D31" s="7">
        <v>26637.75</v>
      </c>
      <c r="E31" s="7">
        <v>19971027.509999998</v>
      </c>
      <c r="F31" s="7">
        <v>3364347.5200000005</v>
      </c>
      <c r="G31" s="7">
        <f t="shared" ref="G31" si="8">SUM(E31:F31)</f>
        <v>23335375.029999997</v>
      </c>
      <c r="H31" s="7">
        <f t="shared" ref="H31" si="9">C31-G31</f>
        <v>66467681.289999977</v>
      </c>
      <c r="I31" s="37">
        <f t="shared" si="5"/>
        <v>0.74014943381383558</v>
      </c>
      <c r="L31" s="130"/>
      <c r="M31" s="130"/>
      <c r="N31" s="130"/>
      <c r="O31" s="130"/>
      <c r="P31" s="130"/>
      <c r="R31" s="130"/>
      <c r="S31" s="130"/>
      <c r="T31" s="130"/>
      <c r="U31" s="130"/>
      <c r="V31" s="130"/>
    </row>
    <row r="32" spans="1:22" s="5" customFormat="1" x14ac:dyDescent="0.25">
      <c r="A32" s="6" t="s">
        <v>25</v>
      </c>
      <c r="B32" s="9">
        <v>0</v>
      </c>
      <c r="C32" s="9">
        <v>633100</v>
      </c>
      <c r="D32" s="9">
        <v>8241.6</v>
      </c>
      <c r="E32" s="9">
        <v>9458.0000000000018</v>
      </c>
      <c r="F32" s="9">
        <v>0</v>
      </c>
      <c r="G32" s="9">
        <f t="shared" si="3"/>
        <v>9458.0000000000018</v>
      </c>
      <c r="H32" s="9">
        <f t="shared" si="4"/>
        <v>623642</v>
      </c>
      <c r="I32" s="37">
        <f t="shared" si="5"/>
        <v>0.98506081187806038</v>
      </c>
      <c r="L32" s="1"/>
      <c r="M32" s="1"/>
      <c r="N32" s="1"/>
      <c r="O32" s="1"/>
      <c r="P32" s="1"/>
      <c r="Q32" s="1"/>
      <c r="R32" s="1"/>
      <c r="S32" s="1"/>
    </row>
    <row r="33" spans="1:16" s="5" customFormat="1" x14ac:dyDescent="0.2">
      <c r="A33" s="10" t="s">
        <v>26</v>
      </c>
      <c r="B33" s="11">
        <f t="shared" ref="B33:H33" si="10">SUM(B14:B32)</f>
        <v>885842262.02999997</v>
      </c>
      <c r="C33" s="11">
        <f t="shared" si="10"/>
        <v>1004097034.1900003</v>
      </c>
      <c r="D33" s="11">
        <f t="shared" si="10"/>
        <v>38956581.370000005</v>
      </c>
      <c r="E33" s="11">
        <f t="shared" si="10"/>
        <v>77748546.330000013</v>
      </c>
      <c r="F33" s="11">
        <f t="shared" si="10"/>
        <v>25877720.379999999</v>
      </c>
      <c r="G33" s="11">
        <f t="shared" si="10"/>
        <v>103626266.71000002</v>
      </c>
      <c r="H33" s="11">
        <f t="shared" si="10"/>
        <v>900470767.48000026</v>
      </c>
      <c r="I33" s="34">
        <f>IF(C33=0,"",H33/C33)</f>
        <v>0.89679656130685137</v>
      </c>
      <c r="L33" s="130"/>
      <c r="M33" s="130"/>
      <c r="N33" s="130"/>
      <c r="O33" s="130"/>
      <c r="P33" s="130"/>
    </row>
    <row r="34" spans="1:16" s="5" customFormat="1" x14ac:dyDescent="0.2">
      <c r="A34" s="12"/>
      <c r="B34" s="13"/>
      <c r="C34" s="13"/>
      <c r="D34" s="13"/>
      <c r="E34" s="13"/>
      <c r="F34" s="13"/>
      <c r="G34" s="13"/>
      <c r="H34" s="13"/>
      <c r="I34" s="15"/>
      <c r="L34" s="130"/>
      <c r="M34" s="130"/>
      <c r="N34" s="130"/>
      <c r="O34" s="130"/>
      <c r="P34" s="130"/>
    </row>
    <row r="35" spans="1:16" s="5" customFormat="1" ht="24.95" customHeight="1" x14ac:dyDescent="0.2">
      <c r="A35" s="6" t="s">
        <v>27</v>
      </c>
      <c r="B35" s="7">
        <f>B13-B33</f>
        <v>-288179651.68999994</v>
      </c>
      <c r="C35" s="7">
        <f>C13-C33</f>
        <v>14563127.68999958</v>
      </c>
      <c r="D35" s="7">
        <f>D13-D33</f>
        <v>-35326876.220000006</v>
      </c>
      <c r="E35" s="7">
        <f>E13-E33</f>
        <v>-69637268.430000007</v>
      </c>
      <c r="F35" s="7"/>
      <c r="G35" s="7">
        <f>G13-G33</f>
        <v>-95514988.810000032</v>
      </c>
      <c r="H35" s="7">
        <f>H13-H33</f>
        <v>110078116.49999964</v>
      </c>
      <c r="I35" s="16"/>
      <c r="L35" s="130"/>
      <c r="M35" s="130"/>
      <c r="N35" s="130"/>
      <c r="O35" s="130"/>
      <c r="P35" s="130"/>
    </row>
    <row r="36" spans="1:16" s="5" customFormat="1" x14ac:dyDescent="0.2">
      <c r="A36" s="8"/>
      <c r="B36" s="9"/>
      <c r="C36" s="9"/>
      <c r="D36" s="9"/>
      <c r="E36" s="9"/>
      <c r="F36" s="9"/>
      <c r="G36" s="9"/>
      <c r="H36" s="9"/>
      <c r="I36" s="32"/>
      <c r="L36" s="130"/>
      <c r="M36" s="130"/>
      <c r="N36" s="130"/>
      <c r="O36" s="130"/>
      <c r="P36" s="130"/>
    </row>
    <row r="37" spans="1:16" s="5" customFormat="1" x14ac:dyDescent="0.2">
      <c r="A37" s="18" t="s">
        <v>67</v>
      </c>
      <c r="B37" s="20"/>
      <c r="C37" s="20"/>
      <c r="D37" s="20"/>
      <c r="E37" s="20">
        <v>0</v>
      </c>
      <c r="F37" s="20"/>
      <c r="G37" s="20">
        <f>E37</f>
        <v>0</v>
      </c>
      <c r="H37" s="20"/>
      <c r="I37" s="21"/>
      <c r="L37" s="130"/>
      <c r="M37" s="130"/>
      <c r="N37" s="130"/>
      <c r="O37" s="130"/>
      <c r="P37" s="130"/>
    </row>
    <row r="38" spans="1:16" s="5" customFormat="1" ht="15.75" thickBot="1" x14ac:dyDescent="0.25">
      <c r="A38" s="22" t="s">
        <v>28</v>
      </c>
      <c r="B38" s="24"/>
      <c r="C38" s="24"/>
      <c r="D38" s="24"/>
      <c r="E38" s="24">
        <f>SUM(E35:E37)</f>
        <v>-69637268.430000007</v>
      </c>
      <c r="F38" s="24"/>
      <c r="G38" s="24">
        <f>SUM(G35:G37)</f>
        <v>-95514988.810000032</v>
      </c>
      <c r="H38" s="24"/>
      <c r="I38" s="25"/>
      <c r="L38" s="130"/>
      <c r="M38" s="130"/>
      <c r="N38" s="130"/>
      <c r="O38" s="130"/>
      <c r="P38" s="130"/>
    </row>
    <row r="39" spans="1:16" x14ac:dyDescent="0.25">
      <c r="A39" s="5"/>
      <c r="B39" s="31"/>
      <c r="C39" s="31"/>
      <c r="D39" s="31"/>
      <c r="E39" s="31"/>
      <c r="F39" s="31"/>
      <c r="G39" s="31"/>
      <c r="H39" s="31"/>
      <c r="I39" s="5"/>
      <c r="J39" s="129"/>
      <c r="K39" s="129"/>
      <c r="O39" s="1"/>
      <c r="P39" s="1"/>
    </row>
    <row r="40" spans="1:16" x14ac:dyDescent="0.25">
      <c r="I40" s="28"/>
      <c r="L40" s="1"/>
      <c r="M40" s="1"/>
      <c r="N40" s="1"/>
      <c r="O40" s="1"/>
      <c r="P40" s="1"/>
    </row>
    <row r="41" spans="1:16" x14ac:dyDescent="0.25">
      <c r="B41" s="129"/>
      <c r="C41" s="129"/>
      <c r="D41" s="129"/>
      <c r="E41" s="129"/>
      <c r="F41" s="129"/>
      <c r="G41" s="129"/>
      <c r="H41" s="129"/>
      <c r="L41" s="1"/>
      <c r="M41" s="1"/>
      <c r="N41" s="1"/>
      <c r="O41" s="1"/>
      <c r="P41" s="1"/>
    </row>
    <row r="42" spans="1:16" x14ac:dyDescent="0.25">
      <c r="B42" s="129"/>
      <c r="C42" s="129"/>
      <c r="D42" s="129"/>
      <c r="E42" s="129"/>
      <c r="F42" s="129"/>
      <c r="G42" s="129"/>
      <c r="H42" s="129"/>
      <c r="L42" s="1"/>
      <c r="M42" s="1"/>
      <c r="N42" s="1"/>
      <c r="O42" s="1"/>
      <c r="P42" s="1"/>
    </row>
    <row r="43" spans="1:16" x14ac:dyDescent="0.25">
      <c r="B43" s="129"/>
      <c r="C43" s="129"/>
      <c r="D43" s="129"/>
      <c r="E43" s="129"/>
      <c r="F43" s="129"/>
      <c r="G43" s="129"/>
      <c r="H43" s="129"/>
      <c r="L43" s="1"/>
      <c r="M43" s="1"/>
      <c r="N43" s="1"/>
      <c r="O43" s="1"/>
      <c r="P43" s="1"/>
    </row>
    <row r="44" spans="1:16" x14ac:dyDescent="0.25">
      <c r="B44" s="129"/>
      <c r="C44" s="1"/>
      <c r="D44" s="1"/>
      <c r="E44" s="1"/>
      <c r="F44" s="1"/>
      <c r="G44" s="1"/>
      <c r="H44" s="1"/>
      <c r="L44" s="1"/>
      <c r="M44" s="1"/>
      <c r="N44" s="1"/>
      <c r="O44" s="1"/>
      <c r="P44" s="1"/>
    </row>
    <row r="45" spans="1:16" x14ac:dyDescent="0.25">
      <c r="B45" s="129"/>
      <c r="C45" s="1"/>
      <c r="D45" s="1"/>
      <c r="E45" s="1"/>
      <c r="F45" s="1"/>
      <c r="G45" s="1"/>
      <c r="H45" s="1"/>
      <c r="L45" s="1"/>
      <c r="M45" s="1"/>
      <c r="N45" s="1"/>
      <c r="O45" s="1"/>
      <c r="P45" s="1"/>
    </row>
    <row r="46" spans="1:16" x14ac:dyDescent="0.25">
      <c r="B46" s="129"/>
      <c r="C46" s="1"/>
      <c r="D46" s="1"/>
      <c r="E46" s="1"/>
      <c r="F46" s="1"/>
      <c r="G46" s="1"/>
      <c r="H46" s="1"/>
      <c r="L46" s="1"/>
      <c r="M46" s="1"/>
      <c r="N46" s="1"/>
      <c r="O46" s="1"/>
      <c r="P46" s="1"/>
    </row>
    <row r="47" spans="1:16" x14ac:dyDescent="0.25">
      <c r="B47" s="129"/>
      <c r="C47" s="129"/>
      <c r="D47" s="129"/>
      <c r="E47" s="129"/>
      <c r="F47" s="129"/>
      <c r="G47" s="129"/>
      <c r="H47" s="129"/>
      <c r="I47" s="129"/>
      <c r="L47" s="1"/>
      <c r="M47" s="1"/>
      <c r="N47" s="1"/>
      <c r="O47" s="1"/>
      <c r="P47" s="1"/>
    </row>
    <row r="48" spans="1:16" x14ac:dyDescent="0.25">
      <c r="B48" s="129"/>
      <c r="C48" s="129"/>
      <c r="D48" s="129"/>
      <c r="E48" s="129"/>
      <c r="F48" s="129"/>
      <c r="G48" s="129"/>
      <c r="H48" s="129"/>
      <c r="I48" s="129"/>
      <c r="L48" s="1"/>
      <c r="M48" s="1"/>
      <c r="N48" s="1"/>
      <c r="O48" s="1"/>
      <c r="P48" s="1"/>
    </row>
    <row r="49" spans="2:16" x14ac:dyDescent="0.25">
      <c r="B49" s="129"/>
      <c r="C49" s="129"/>
      <c r="D49" s="129"/>
      <c r="E49" s="129"/>
      <c r="F49" s="129"/>
      <c r="G49" s="129"/>
      <c r="H49" s="129"/>
      <c r="I49" s="129"/>
      <c r="L49" s="1"/>
      <c r="M49" s="1"/>
      <c r="N49" s="1"/>
      <c r="O49" s="1"/>
      <c r="P49" s="1"/>
    </row>
    <row r="50" spans="2:16" x14ac:dyDescent="0.25">
      <c r="B50" s="129"/>
      <c r="C50" s="129"/>
      <c r="D50" s="129"/>
      <c r="E50" s="129"/>
      <c r="F50" s="129"/>
      <c r="G50" s="129"/>
      <c r="H50" s="129"/>
      <c r="I50" s="129"/>
      <c r="L50" s="1"/>
      <c r="M50" s="1"/>
      <c r="N50" s="1"/>
      <c r="O50" s="1"/>
      <c r="P50" s="1"/>
    </row>
    <row r="51" spans="2:16" x14ac:dyDescent="0.25">
      <c r="B51" s="129"/>
      <c r="C51" s="129"/>
      <c r="D51" s="129"/>
      <c r="E51" s="129"/>
      <c r="F51" s="129"/>
      <c r="G51" s="1"/>
      <c r="H51" s="1"/>
      <c r="L51" s="1"/>
      <c r="M51" s="1"/>
      <c r="N51" s="1"/>
      <c r="O51" s="1"/>
      <c r="P51" s="1"/>
    </row>
    <row r="52" spans="2:16" x14ac:dyDescent="0.25">
      <c r="B52" s="129"/>
      <c r="C52" s="129"/>
      <c r="D52" s="129"/>
      <c r="E52" s="129"/>
      <c r="F52" s="129"/>
      <c r="G52" s="1"/>
      <c r="H52" s="1"/>
      <c r="L52" s="1"/>
      <c r="M52" s="1"/>
      <c r="N52" s="1"/>
      <c r="O52" s="1"/>
      <c r="P52" s="1"/>
    </row>
    <row r="53" spans="2:16" x14ac:dyDescent="0.25">
      <c r="B53" s="129"/>
      <c r="C53" s="129"/>
      <c r="D53" s="129"/>
      <c r="E53" s="129"/>
      <c r="F53" s="129"/>
      <c r="G53" s="1"/>
      <c r="H53" s="1"/>
      <c r="L53" s="1"/>
      <c r="M53" s="1"/>
      <c r="N53" s="1"/>
      <c r="O53" s="1"/>
      <c r="P53" s="1"/>
    </row>
    <row r="54" spans="2:16" x14ac:dyDescent="0.25">
      <c r="B54" s="129"/>
      <c r="C54" s="129"/>
      <c r="D54" s="129"/>
      <c r="E54" s="129"/>
      <c r="F54" s="129"/>
      <c r="G54" s="1"/>
      <c r="H54" s="1"/>
      <c r="L54" s="1"/>
      <c r="M54" s="1"/>
      <c r="N54" s="1"/>
      <c r="O54" s="1"/>
      <c r="P54" s="1"/>
    </row>
    <row r="55" spans="2:16" x14ac:dyDescent="0.25">
      <c r="B55" s="129"/>
      <c r="C55" s="129"/>
      <c r="D55" s="129"/>
      <c r="E55" s="129"/>
      <c r="F55" s="129"/>
      <c r="G55" s="129"/>
      <c r="H55" s="129"/>
      <c r="L55" s="1"/>
      <c r="M55" s="1"/>
      <c r="N55" s="1"/>
      <c r="O55" s="1"/>
      <c r="P55" s="1"/>
    </row>
    <row r="56" spans="2:16" x14ac:dyDescent="0.25">
      <c r="B56" s="129"/>
      <c r="C56" s="129"/>
      <c r="D56" s="129"/>
      <c r="E56" s="129"/>
      <c r="F56" s="129"/>
      <c r="G56" s="129"/>
      <c r="H56" s="129"/>
      <c r="L56" s="1"/>
      <c r="M56" s="1"/>
      <c r="N56" s="1"/>
      <c r="O56" s="1"/>
      <c r="P56" s="1"/>
    </row>
    <row r="57" spans="2:16" x14ac:dyDescent="0.25">
      <c r="B57" s="129"/>
      <c r="C57" s="129"/>
      <c r="D57" s="129"/>
      <c r="E57" s="129"/>
      <c r="F57" s="129"/>
      <c r="G57" s="129"/>
      <c r="H57" s="129"/>
      <c r="J57" s="129"/>
      <c r="L57" s="1"/>
      <c r="M57" s="1"/>
      <c r="N57" s="1"/>
      <c r="O57" s="1"/>
      <c r="P57" s="1"/>
    </row>
    <row r="58" spans="2:16" x14ac:dyDescent="0.25">
      <c r="B58" s="129"/>
      <c r="C58" s="129"/>
      <c r="D58" s="129"/>
      <c r="E58" s="129"/>
      <c r="F58" s="129"/>
      <c r="G58" s="129"/>
      <c r="H58" s="129"/>
      <c r="I58" s="129"/>
      <c r="J58" s="129"/>
      <c r="L58" s="1"/>
      <c r="M58" s="1"/>
      <c r="N58" s="1"/>
      <c r="O58" s="1"/>
      <c r="P58" s="1"/>
    </row>
    <row r="59" spans="2:16" x14ac:dyDescent="0.25">
      <c r="B59" s="129"/>
      <c r="C59" s="129"/>
      <c r="D59" s="129"/>
      <c r="E59" s="129"/>
      <c r="F59" s="129"/>
      <c r="G59" s="129"/>
      <c r="H59" s="129"/>
      <c r="I59" s="129"/>
      <c r="J59" s="129"/>
      <c r="L59" s="1"/>
      <c r="M59" s="1"/>
      <c r="N59" s="1"/>
      <c r="O59" s="1"/>
      <c r="P59" s="1"/>
    </row>
    <row r="60" spans="2:16" x14ac:dyDescent="0.25">
      <c r="B60" s="129"/>
      <c r="C60" s="129"/>
      <c r="D60" s="129"/>
      <c r="E60" s="129"/>
      <c r="F60" s="129"/>
      <c r="G60" s="129"/>
      <c r="H60" s="129"/>
      <c r="I60" s="129"/>
      <c r="J60" s="129"/>
      <c r="L60" s="1"/>
      <c r="M60" s="1"/>
      <c r="N60" s="1"/>
      <c r="O60" s="1"/>
      <c r="P60" s="1"/>
    </row>
    <row r="61" spans="2:16" x14ac:dyDescent="0.25">
      <c r="B61" s="129"/>
      <c r="C61" s="129"/>
      <c r="D61" s="129"/>
      <c r="E61" s="129"/>
      <c r="F61" s="129"/>
      <c r="G61" s="129"/>
      <c r="H61" s="129"/>
      <c r="I61" s="129"/>
      <c r="J61" s="129"/>
      <c r="L61" s="1"/>
      <c r="M61" s="1"/>
      <c r="N61" s="1"/>
      <c r="O61" s="1"/>
      <c r="P61" s="1"/>
    </row>
    <row r="62" spans="2:16" x14ac:dyDescent="0.25">
      <c r="B62" s="129"/>
      <c r="C62" s="129"/>
      <c r="D62" s="129"/>
      <c r="E62" s="129"/>
      <c r="F62" s="129"/>
      <c r="G62" s="129"/>
      <c r="H62" s="129"/>
      <c r="I62" s="129"/>
      <c r="J62" s="129"/>
      <c r="L62" s="1"/>
      <c r="M62" s="1"/>
      <c r="N62" s="1"/>
      <c r="O62" s="1"/>
      <c r="P62" s="1"/>
    </row>
    <row r="63" spans="2:16" x14ac:dyDescent="0.25">
      <c r="B63" s="129"/>
      <c r="C63" s="129"/>
      <c r="D63" s="129"/>
      <c r="E63" s="129"/>
      <c r="F63" s="129"/>
      <c r="G63" s="129"/>
      <c r="H63" s="129"/>
      <c r="I63" s="129"/>
      <c r="J63" s="129"/>
      <c r="L63" s="1"/>
      <c r="M63" s="1"/>
      <c r="N63" s="1"/>
      <c r="O63" s="1"/>
      <c r="P63" s="1"/>
    </row>
    <row r="64" spans="2:16" x14ac:dyDescent="0.25">
      <c r="B64" s="129"/>
      <c r="C64" s="129"/>
      <c r="D64" s="129"/>
      <c r="E64" s="129"/>
      <c r="F64" s="129"/>
      <c r="G64" s="129"/>
      <c r="H64" s="129"/>
      <c r="I64" s="129"/>
      <c r="J64" s="129"/>
      <c r="L64" s="1"/>
      <c r="M64" s="1"/>
      <c r="N64" s="1"/>
      <c r="O64" s="1"/>
      <c r="P64" s="1"/>
    </row>
    <row r="65" spans="2:16" x14ac:dyDescent="0.25">
      <c r="B65" s="129"/>
      <c r="C65" s="129"/>
      <c r="D65" s="129"/>
      <c r="E65" s="129"/>
      <c r="F65" s="129"/>
      <c r="G65" s="129"/>
      <c r="H65" s="129"/>
      <c r="I65" s="129"/>
      <c r="J65" s="129"/>
      <c r="L65" s="1"/>
      <c r="M65" s="1"/>
      <c r="N65" s="1"/>
      <c r="O65" s="1"/>
      <c r="P65" s="1"/>
    </row>
    <row r="66" spans="2:16" x14ac:dyDescent="0.25">
      <c r="B66" s="129"/>
      <c r="C66" s="129"/>
      <c r="D66" s="129"/>
      <c r="E66" s="129"/>
      <c r="F66" s="129"/>
      <c r="G66" s="129"/>
      <c r="H66" s="129"/>
      <c r="I66" s="129"/>
      <c r="J66" s="129"/>
      <c r="L66" s="1"/>
      <c r="M66" s="1"/>
      <c r="N66" s="1"/>
      <c r="O66" s="1"/>
      <c r="P66" s="1"/>
    </row>
    <row r="67" spans="2:16" x14ac:dyDescent="0.25">
      <c r="B67" s="129"/>
      <c r="C67" s="129"/>
      <c r="D67" s="129"/>
      <c r="E67" s="129"/>
      <c r="F67" s="129"/>
      <c r="G67" s="129"/>
      <c r="H67" s="129"/>
      <c r="I67" s="129"/>
      <c r="J67" s="129"/>
      <c r="L67" s="1"/>
      <c r="M67" s="1"/>
      <c r="N67" s="1"/>
      <c r="O67" s="1"/>
      <c r="P67" s="1"/>
    </row>
    <row r="68" spans="2:16" x14ac:dyDescent="0.25"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M68" s="1"/>
      <c r="N68" s="1"/>
      <c r="O68" s="1"/>
      <c r="P68" s="1"/>
    </row>
    <row r="69" spans="2:16" x14ac:dyDescent="0.25"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M69" s="1"/>
      <c r="N69" s="1"/>
      <c r="O69" s="1"/>
      <c r="P69" s="1"/>
    </row>
    <row r="70" spans="2:16" x14ac:dyDescent="0.25"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M70" s="1"/>
      <c r="N70" s="1"/>
      <c r="O70" s="1"/>
      <c r="P70" s="1"/>
    </row>
    <row r="71" spans="2:16" x14ac:dyDescent="0.25"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M71" s="1"/>
      <c r="N71" s="1"/>
      <c r="O71" s="1"/>
      <c r="P71" s="1"/>
    </row>
    <row r="72" spans="2:16" x14ac:dyDescent="0.25"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M72" s="1"/>
      <c r="N72" s="1"/>
      <c r="O72" s="1"/>
      <c r="P72" s="1"/>
    </row>
    <row r="73" spans="2:16" x14ac:dyDescent="0.25"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M73" s="1"/>
      <c r="N73" s="1"/>
      <c r="O73" s="1"/>
      <c r="P73" s="1"/>
    </row>
    <row r="74" spans="2:16" x14ac:dyDescent="0.25"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M74" s="1"/>
      <c r="N74" s="1"/>
      <c r="O74" s="1"/>
      <c r="P74" s="1"/>
    </row>
    <row r="75" spans="2:16" x14ac:dyDescent="0.25"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O75" s="1"/>
      <c r="P75" s="1"/>
    </row>
    <row r="76" spans="2:16" x14ac:dyDescent="0.25">
      <c r="B76" s="129"/>
      <c r="C76" s="129"/>
      <c r="D76" s="129"/>
      <c r="E76" s="129"/>
      <c r="F76" s="129"/>
      <c r="G76" s="129"/>
      <c r="H76" s="129"/>
      <c r="I76" s="28"/>
      <c r="J76" s="129"/>
      <c r="K76" s="129"/>
      <c r="O76" s="1"/>
      <c r="P76" s="1"/>
    </row>
    <row r="77" spans="2:16" x14ac:dyDescent="0.25">
      <c r="B77" s="129"/>
      <c r="C77" s="129"/>
      <c r="D77" s="129"/>
      <c r="E77" s="129"/>
      <c r="F77" s="129"/>
      <c r="G77" s="129"/>
      <c r="H77" s="129"/>
      <c r="I77" s="28"/>
      <c r="J77" s="129"/>
      <c r="K77" s="129"/>
      <c r="O77" s="1"/>
      <c r="P77" s="1"/>
    </row>
    <row r="78" spans="2:16" x14ac:dyDescent="0.25">
      <c r="B78" s="129"/>
      <c r="C78" s="129"/>
      <c r="D78" s="129"/>
      <c r="E78" s="129"/>
      <c r="F78" s="129"/>
      <c r="G78" s="129"/>
      <c r="H78" s="129"/>
      <c r="I78" s="28"/>
      <c r="J78" s="129"/>
      <c r="K78" s="129"/>
      <c r="O78" s="1"/>
      <c r="P78" s="1"/>
    </row>
    <row r="79" spans="2:16" x14ac:dyDescent="0.25">
      <c r="B79" s="129"/>
      <c r="C79" s="129"/>
      <c r="D79" s="129"/>
      <c r="E79" s="129"/>
      <c r="F79" s="129"/>
      <c r="G79" s="129"/>
      <c r="H79" s="129"/>
      <c r="I79" s="28"/>
      <c r="J79" s="129"/>
      <c r="K79" s="129"/>
      <c r="O79" s="1"/>
      <c r="P79" s="1"/>
    </row>
    <row r="80" spans="2:16" x14ac:dyDescent="0.25">
      <c r="B80" s="129"/>
      <c r="I80" s="28"/>
      <c r="J80" s="129"/>
      <c r="K80" s="129"/>
      <c r="O80" s="1"/>
      <c r="P80" s="1"/>
    </row>
    <row r="81" spans="2:16" x14ac:dyDescent="0.25">
      <c r="B81" s="129"/>
      <c r="I81" s="28"/>
      <c r="J81" s="129"/>
      <c r="K81" s="129"/>
      <c r="O81" s="1"/>
      <c r="P81" s="1"/>
    </row>
    <row r="82" spans="2:16" x14ac:dyDescent="0.25">
      <c r="B82" s="129"/>
      <c r="G82" s="1"/>
      <c r="H82" s="1"/>
      <c r="J82" s="129"/>
      <c r="K82" s="129"/>
      <c r="O82" s="1"/>
      <c r="P82" s="1"/>
    </row>
    <row r="83" spans="2:16" x14ac:dyDescent="0.25">
      <c r="B83" s="129"/>
      <c r="G83" s="1"/>
      <c r="H83" s="1"/>
      <c r="J83" s="129"/>
      <c r="K83" s="129"/>
      <c r="O83" s="1"/>
      <c r="P83" s="1"/>
    </row>
    <row r="84" spans="2:16" x14ac:dyDescent="0.25">
      <c r="B84" s="129"/>
      <c r="G84" s="1"/>
      <c r="H84" s="1"/>
      <c r="J84" s="129"/>
      <c r="K84" s="129"/>
      <c r="O84" s="1"/>
      <c r="P84" s="1"/>
    </row>
    <row r="85" spans="2:16" x14ac:dyDescent="0.25">
      <c r="B85" s="129"/>
      <c r="G85" s="1"/>
      <c r="H85" s="1"/>
      <c r="J85" s="129"/>
      <c r="K85" s="129"/>
      <c r="O85" s="1"/>
      <c r="P85" s="1"/>
    </row>
    <row r="86" spans="2:16" x14ac:dyDescent="0.25">
      <c r="B86" s="129"/>
      <c r="G86" s="1"/>
      <c r="H86" s="1"/>
      <c r="J86" s="129"/>
      <c r="K86" s="129"/>
      <c r="O86" s="1"/>
      <c r="P86" s="1"/>
    </row>
    <row r="87" spans="2:16" x14ac:dyDescent="0.25">
      <c r="B87" s="129"/>
      <c r="G87" s="1"/>
      <c r="H87" s="1"/>
      <c r="J87" s="129"/>
      <c r="K87" s="129"/>
      <c r="O87" s="1"/>
      <c r="P87" s="1"/>
    </row>
    <row r="88" spans="2:16" x14ac:dyDescent="0.25">
      <c r="B88" s="129"/>
      <c r="G88" s="1"/>
      <c r="H88" s="1"/>
      <c r="J88" s="129"/>
      <c r="K88" s="129"/>
      <c r="O88" s="1"/>
      <c r="P88" s="1"/>
    </row>
    <row r="89" spans="2:16" x14ac:dyDescent="0.25">
      <c r="B89" s="129"/>
      <c r="G89" s="1"/>
      <c r="H89" s="1"/>
      <c r="J89" s="129"/>
      <c r="K89" s="129"/>
      <c r="O89" s="1"/>
      <c r="P89" s="1"/>
    </row>
    <row r="90" spans="2:16" x14ac:dyDescent="0.25">
      <c r="B90" s="129"/>
      <c r="G90" s="1"/>
      <c r="H90" s="1"/>
      <c r="J90" s="129"/>
      <c r="K90" s="129"/>
      <c r="O90" s="1"/>
      <c r="P90" s="1"/>
    </row>
    <row r="91" spans="2:16" x14ac:dyDescent="0.25">
      <c r="B91" s="129"/>
      <c r="G91" s="1"/>
      <c r="H91" s="1"/>
      <c r="J91" s="129"/>
      <c r="K91" s="129"/>
      <c r="O91" s="1"/>
      <c r="P91" s="1"/>
    </row>
    <row r="92" spans="2:16" x14ac:dyDescent="0.25">
      <c r="B92" s="129"/>
      <c r="G92" s="1"/>
      <c r="H92" s="1"/>
      <c r="J92" s="129"/>
      <c r="K92" s="129"/>
      <c r="O92" s="1"/>
      <c r="P92" s="1"/>
    </row>
    <row r="93" spans="2:16" x14ac:dyDescent="0.25">
      <c r="G93" s="1"/>
      <c r="H93" s="1"/>
      <c r="J93" s="129"/>
      <c r="K93" s="129"/>
      <c r="O93" s="1"/>
      <c r="P93" s="1"/>
    </row>
    <row r="94" spans="2:16" x14ac:dyDescent="0.25">
      <c r="G94" s="1"/>
      <c r="H94" s="1"/>
      <c r="J94" s="129"/>
      <c r="K94" s="129"/>
      <c r="O94" s="1"/>
      <c r="P94" s="1"/>
    </row>
    <row r="95" spans="2:16" x14ac:dyDescent="0.25">
      <c r="G95" s="1"/>
      <c r="H95" s="1"/>
      <c r="J95" s="129"/>
      <c r="K95" s="129"/>
      <c r="O95" s="1"/>
      <c r="P95" s="1"/>
    </row>
    <row r="96" spans="2:16" x14ac:dyDescent="0.25">
      <c r="G96" s="1"/>
      <c r="H96" s="1"/>
      <c r="J96" s="129"/>
      <c r="K96" s="129"/>
      <c r="O96" s="1"/>
      <c r="P96" s="1"/>
    </row>
    <row r="97" spans="7:16" x14ac:dyDescent="0.25">
      <c r="G97" s="1"/>
      <c r="H97" s="1"/>
      <c r="J97" s="129"/>
      <c r="K97" s="129"/>
      <c r="O97" s="1"/>
      <c r="P97" s="1"/>
    </row>
    <row r="98" spans="7:16" x14ac:dyDescent="0.25">
      <c r="G98" s="1"/>
      <c r="H98" s="1"/>
      <c r="J98" s="129"/>
      <c r="K98" s="129"/>
      <c r="O98" s="1"/>
      <c r="P98" s="1"/>
    </row>
    <row r="99" spans="7:16" x14ac:dyDescent="0.25">
      <c r="G99" s="1"/>
      <c r="H99" s="1"/>
      <c r="J99" s="129"/>
      <c r="K99" s="129"/>
      <c r="O99" s="1"/>
      <c r="P99" s="1"/>
    </row>
    <row r="100" spans="7:16" x14ac:dyDescent="0.25">
      <c r="G100" s="1"/>
      <c r="H100" s="1"/>
      <c r="J100" s="129"/>
      <c r="K100" s="129"/>
      <c r="O100" s="1"/>
      <c r="P100" s="1"/>
    </row>
    <row r="101" spans="7:16" x14ac:dyDescent="0.25">
      <c r="G101" s="1"/>
      <c r="H101" s="1"/>
      <c r="J101" s="129"/>
      <c r="K101" s="129"/>
      <c r="O101" s="1"/>
      <c r="P101" s="1"/>
    </row>
    <row r="102" spans="7:16" x14ac:dyDescent="0.25">
      <c r="G102" s="1"/>
      <c r="H102" s="1"/>
      <c r="J102" s="129"/>
      <c r="K102" s="129"/>
      <c r="O102" s="1"/>
      <c r="P102" s="1"/>
    </row>
    <row r="103" spans="7:16" x14ac:dyDescent="0.25">
      <c r="G103" s="1"/>
      <c r="H103" s="1"/>
      <c r="J103" s="129"/>
      <c r="K103" s="129"/>
      <c r="O103" s="1"/>
      <c r="P103" s="1"/>
    </row>
    <row r="104" spans="7:16" x14ac:dyDescent="0.25">
      <c r="G104" s="1"/>
      <c r="H104" s="1"/>
      <c r="J104" s="129"/>
      <c r="K104" s="129"/>
      <c r="O104" s="1"/>
      <c r="P104" s="1"/>
    </row>
    <row r="105" spans="7:16" x14ac:dyDescent="0.25">
      <c r="G105" s="1"/>
      <c r="H105" s="1"/>
      <c r="J105" s="129"/>
      <c r="K105" s="129"/>
      <c r="O105" s="1"/>
      <c r="P105" s="1"/>
    </row>
    <row r="106" spans="7:16" x14ac:dyDescent="0.25">
      <c r="G106" s="1"/>
      <c r="H106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7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28" bestFit="1" customWidth="1"/>
    <col min="4" max="5" width="13.28515625" style="28" bestFit="1" customWidth="1"/>
    <col min="6" max="6" width="17.7109375" style="28" customWidth="1"/>
    <col min="7" max="7" width="13.5703125" style="28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9" ht="18.75" x14ac:dyDescent="0.3">
      <c r="A2" s="151" t="s">
        <v>79</v>
      </c>
      <c r="B2" s="151"/>
      <c r="C2" s="151"/>
      <c r="D2" s="151"/>
      <c r="E2" s="151"/>
      <c r="F2" s="151"/>
      <c r="G2" s="151"/>
      <c r="H2" s="151"/>
      <c r="I2" s="151"/>
    </row>
    <row r="3" spans="1:9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</row>
    <row r="4" spans="1:9" x14ac:dyDescent="0.25">
      <c r="A4" s="152">
        <v>45565</v>
      </c>
      <c r="B4" s="152"/>
      <c r="C4" s="152"/>
      <c r="D4" s="152"/>
      <c r="E4" s="152"/>
      <c r="F4" s="152"/>
      <c r="G4" s="152"/>
      <c r="H4" s="152"/>
      <c r="I4" s="152"/>
    </row>
    <row r="5" spans="1:9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</row>
    <row r="6" spans="1:9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</row>
    <row r="7" spans="1:9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" t="s">
        <v>7</v>
      </c>
      <c r="I7" s="4" t="s">
        <v>31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3" t="str">
        <f>IF(C8=0,"NA",H8/C8)</f>
        <v>NA</v>
      </c>
    </row>
    <row r="9" spans="1:9" s="5" customFormat="1" x14ac:dyDescent="0.2">
      <c r="A9" s="6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0</v>
      </c>
      <c r="I9" s="33" t="str">
        <f t="shared" ref="I9:I11" si="2">IF(C9=0,"NA",H9/C9)</f>
        <v>NA</v>
      </c>
    </row>
    <row r="10" spans="1:9" s="5" customFormat="1" ht="24.95" customHeight="1" x14ac:dyDescent="0.2">
      <c r="A10" s="10" t="s">
        <v>12</v>
      </c>
      <c r="B10" s="11">
        <f t="shared" ref="B10:H10" si="3">SUM(B8:B9)</f>
        <v>0</v>
      </c>
      <c r="C10" s="11">
        <f t="shared" si="3"/>
        <v>0</v>
      </c>
      <c r="D10" s="11">
        <f t="shared" si="3"/>
        <v>0</v>
      </c>
      <c r="E10" s="11">
        <f t="shared" si="3"/>
        <v>0</v>
      </c>
      <c r="F10" s="11">
        <f t="shared" si="3"/>
        <v>0</v>
      </c>
      <c r="G10" s="11">
        <f t="shared" si="3"/>
        <v>0</v>
      </c>
      <c r="H10" s="11">
        <f t="shared" si="3"/>
        <v>0</v>
      </c>
      <c r="I10" s="34" t="str">
        <f t="shared" si="2"/>
        <v>NA</v>
      </c>
    </row>
    <row r="11" spans="1:9" s="5" customFormat="1" x14ac:dyDescent="0.2">
      <c r="A11" s="26" t="s">
        <v>25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f t="shared" si="0"/>
        <v>0</v>
      </c>
      <c r="H11" s="13">
        <f t="shared" si="1"/>
        <v>0</v>
      </c>
      <c r="I11" s="35" t="str">
        <f t="shared" si="2"/>
        <v>NA</v>
      </c>
    </row>
    <row r="12" spans="1:9" s="5" customFormat="1" x14ac:dyDescent="0.2">
      <c r="A12" s="27" t="s">
        <v>24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 t="shared" ref="G12" si="4">SUM(E12:F12)</f>
        <v>0</v>
      </c>
      <c r="H12" s="9">
        <f t="shared" ref="H12" si="5">C12-G12</f>
        <v>0</v>
      </c>
      <c r="I12" s="36" t="str">
        <f t="shared" ref="I12" si="6">IF(C12=0,"NA",H12/C12)</f>
        <v>NA</v>
      </c>
    </row>
    <row r="13" spans="1:9" s="5" customFormat="1" ht="24.95" customHeight="1" x14ac:dyDescent="0.2">
      <c r="A13" s="10" t="s">
        <v>26</v>
      </c>
      <c r="B13" s="11">
        <f>SUM(B11:B12)</f>
        <v>0</v>
      </c>
      <c r="C13" s="11">
        <f t="shared" ref="C13:H13" si="7">SUM(C11:C12)</f>
        <v>0</v>
      </c>
      <c r="D13" s="11">
        <f t="shared" si="7"/>
        <v>0</v>
      </c>
      <c r="E13" s="11">
        <f t="shared" si="7"/>
        <v>0</v>
      </c>
      <c r="F13" s="11">
        <f t="shared" si="7"/>
        <v>0</v>
      </c>
      <c r="G13" s="11">
        <f t="shared" si="7"/>
        <v>0</v>
      </c>
      <c r="H13" s="11">
        <f t="shared" si="7"/>
        <v>0</v>
      </c>
      <c r="I13" s="34" t="str">
        <f t="shared" ref="I13" si="8">IF(C13=0,"NA",H13/C13)</f>
        <v>NA</v>
      </c>
    </row>
    <row r="14" spans="1:9" s="5" customFormat="1" x14ac:dyDescent="0.2">
      <c r="A14" s="12"/>
      <c r="B14" s="13"/>
      <c r="C14" s="13"/>
      <c r="D14" s="13"/>
      <c r="E14" s="13"/>
      <c r="F14" s="13"/>
      <c r="G14" s="13"/>
      <c r="H14" s="14"/>
      <c r="I14" s="15"/>
    </row>
    <row r="15" spans="1:9" s="5" customFormat="1" x14ac:dyDescent="0.2">
      <c r="A15" s="6" t="s">
        <v>27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0</v>
      </c>
      <c r="F15" s="7"/>
      <c r="G15" s="7">
        <f>G10-G13</f>
        <v>0</v>
      </c>
      <c r="H15" s="7">
        <f>H10-H13</f>
        <v>0</v>
      </c>
      <c r="I15" s="16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7"/>
    </row>
    <row r="17" spans="1:10" s="5" customFormat="1" ht="24.95" customHeight="1" x14ac:dyDescent="0.2">
      <c r="A17" s="18" t="s">
        <v>67</v>
      </c>
      <c r="B17" s="20"/>
      <c r="C17" s="20"/>
      <c r="D17" s="20"/>
      <c r="E17" s="20">
        <v>0</v>
      </c>
      <c r="F17" s="20"/>
      <c r="G17" s="20">
        <f>E17</f>
        <v>0</v>
      </c>
      <c r="H17" s="19"/>
      <c r="I17" s="21"/>
    </row>
    <row r="18" spans="1:10" s="5" customFormat="1" ht="24.95" customHeight="1" thickBot="1" x14ac:dyDescent="0.25">
      <c r="A18" s="22" t="s">
        <v>28</v>
      </c>
      <c r="B18" s="24"/>
      <c r="C18" s="24"/>
      <c r="D18" s="24"/>
      <c r="E18" s="24">
        <f>SUM(E15:E17)</f>
        <v>0</v>
      </c>
      <c r="F18" s="24"/>
      <c r="G18" s="24">
        <f>SUM(G15:G17)</f>
        <v>0</v>
      </c>
      <c r="H18" s="23"/>
      <c r="I18" s="25"/>
    </row>
    <row r="19" spans="1:10" s="5" customFormat="1" x14ac:dyDescent="0.2">
      <c r="B19" s="31"/>
      <c r="C19" s="31"/>
      <c r="D19" s="31"/>
      <c r="E19" s="31"/>
      <c r="F19" s="31"/>
      <c r="G19" s="31"/>
    </row>
    <row r="20" spans="1:10" s="5" customFormat="1" x14ac:dyDescent="0.2">
      <c r="A20" s="29"/>
      <c r="B20" s="31"/>
      <c r="C20" s="31"/>
      <c r="D20" s="31"/>
      <c r="E20" s="31"/>
      <c r="F20" s="31"/>
      <c r="G20" s="31"/>
    </row>
    <row r="21" spans="1:10" s="5" customFormat="1" x14ac:dyDescent="0.2">
      <c r="B21" s="31"/>
      <c r="C21" s="31"/>
      <c r="D21" s="31"/>
      <c r="E21" s="31"/>
      <c r="F21" s="31"/>
      <c r="G21" s="31"/>
      <c r="H21" s="31"/>
      <c r="I21" s="31"/>
    </row>
    <row r="22" spans="1:10" x14ac:dyDescent="0.25">
      <c r="H22" s="28"/>
      <c r="I22" s="28"/>
    </row>
    <row r="23" spans="1:10" s="5" customFormat="1" x14ac:dyDescent="0.2">
      <c r="B23" s="31"/>
      <c r="C23" s="31"/>
      <c r="D23" s="31"/>
      <c r="E23" s="31"/>
      <c r="F23" s="31"/>
      <c r="G23" s="31"/>
      <c r="H23" s="31"/>
      <c r="I23" s="31"/>
    </row>
    <row r="24" spans="1:10" x14ac:dyDescent="0.25">
      <c r="H24" s="28"/>
      <c r="I24" s="28"/>
      <c r="J24" s="28"/>
    </row>
    <row r="26" spans="1:10" x14ac:dyDescent="0.25">
      <c r="H26" s="28"/>
      <c r="I26" s="28"/>
    </row>
    <row r="27" spans="1:10" x14ac:dyDescent="0.25">
      <c r="H27" s="28"/>
      <c r="I27" s="28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47"/>
  <sheetViews>
    <sheetView workbookViewId="0">
      <selection sqref="A1:I1"/>
    </sheetView>
  </sheetViews>
  <sheetFormatPr defaultRowHeight="15" x14ac:dyDescent="0.25"/>
  <cols>
    <col min="1" max="1" width="52.28515625" style="1" bestFit="1" customWidth="1"/>
    <col min="2" max="3" width="15.28515625" style="28" bestFit="1" customWidth="1"/>
    <col min="4" max="4" width="14.5703125" style="28" bestFit="1" customWidth="1"/>
    <col min="5" max="5" width="14.7109375" style="28" bestFit="1" customWidth="1"/>
    <col min="6" max="6" width="17.5703125" style="28" customWidth="1"/>
    <col min="7" max="7" width="14.7109375" style="28" bestFit="1" customWidth="1"/>
    <col min="8" max="8" width="14.5703125" style="28" bestFit="1" customWidth="1"/>
    <col min="9" max="9" width="14.85546875" style="1" customWidth="1"/>
    <col min="10" max="10" width="3.5703125" style="44" customWidth="1"/>
    <col min="11" max="11" width="25.7109375" style="1" bestFit="1" customWidth="1"/>
    <col min="12" max="13" width="14.5703125" style="129" bestFit="1" customWidth="1"/>
    <col min="14" max="14" width="12.85546875" style="129" bestFit="1" customWidth="1"/>
    <col min="15" max="16" width="13.5703125" style="129" bestFit="1" customWidth="1"/>
    <col min="17" max="17" width="3.7109375" style="1" customWidth="1"/>
    <col min="18" max="18" width="9.7109375" style="1" bestFit="1" customWidth="1"/>
    <col min="19" max="19" width="9.140625" style="1"/>
    <col min="20" max="20" width="10.5703125" style="1" bestFit="1" customWidth="1"/>
    <col min="21" max="21" width="13.28515625" style="1" bestFit="1" customWidth="1"/>
    <col min="22" max="16384" width="9.140625" style="1"/>
  </cols>
  <sheetData>
    <row r="1" spans="1:22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38"/>
    </row>
    <row r="2" spans="1:22" ht="18.75" x14ac:dyDescent="0.3">
      <c r="A2" s="151" t="s">
        <v>80</v>
      </c>
      <c r="B2" s="151"/>
      <c r="C2" s="151"/>
      <c r="D2" s="151"/>
      <c r="E2" s="151"/>
      <c r="F2" s="151"/>
      <c r="G2" s="151"/>
      <c r="H2" s="151"/>
      <c r="I2" s="151"/>
      <c r="J2" s="39"/>
    </row>
    <row r="3" spans="1:22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J3" s="38"/>
    </row>
    <row r="4" spans="1:22" x14ac:dyDescent="0.25">
      <c r="A4" s="152">
        <v>45565</v>
      </c>
      <c r="B4" s="152"/>
      <c r="C4" s="152"/>
      <c r="D4" s="152"/>
      <c r="E4" s="152"/>
      <c r="F4" s="152"/>
      <c r="G4" s="152"/>
      <c r="H4" s="152"/>
      <c r="I4" s="152"/>
      <c r="J4" s="40"/>
    </row>
    <row r="5" spans="1:22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38"/>
    </row>
    <row r="6" spans="1:22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  <c r="J6" s="38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J7" s="41"/>
      <c r="L7" s="130"/>
      <c r="M7" s="130"/>
      <c r="N7" s="130"/>
      <c r="O7" s="130"/>
      <c r="P7" s="130"/>
    </row>
    <row r="8" spans="1:22" s="5" customFormat="1" x14ac:dyDescent="0.2">
      <c r="A8" s="6" t="s">
        <v>8</v>
      </c>
      <c r="B8" s="146">
        <v>429000000</v>
      </c>
      <c r="C8" s="146">
        <v>429000000</v>
      </c>
      <c r="D8" s="146">
        <v>13156664.210000001</v>
      </c>
      <c r="E8" s="146">
        <v>25939124.010000002</v>
      </c>
      <c r="F8" s="146">
        <v>0</v>
      </c>
      <c r="G8" s="7">
        <f t="shared" ref="G8:G21" si="0">SUM(E8:F8)</f>
        <v>25939124.010000002</v>
      </c>
      <c r="H8" s="7">
        <f t="shared" ref="H8:H11" si="1">C8-G8</f>
        <v>403060875.99000001</v>
      </c>
      <c r="I8" s="33">
        <f>IF(C8=0,"NA",H8/C8)</f>
        <v>0.93953584146853153</v>
      </c>
      <c r="J8" s="42"/>
      <c r="K8"/>
      <c r="L8" s="131"/>
      <c r="M8" s="131"/>
      <c r="N8" s="131"/>
      <c r="O8" s="131"/>
      <c r="P8" s="131"/>
      <c r="R8" s="130"/>
      <c r="S8" s="130"/>
      <c r="T8" s="130"/>
      <c r="U8" s="130"/>
      <c r="V8" s="130"/>
    </row>
    <row r="9" spans="1:22" s="5" customFormat="1" x14ac:dyDescent="0.2">
      <c r="A9" s="6" t="s">
        <v>9</v>
      </c>
      <c r="B9" s="147">
        <v>2800000</v>
      </c>
      <c r="C9" s="147">
        <v>2800000</v>
      </c>
      <c r="D9" s="147">
        <v>2495187.63</v>
      </c>
      <c r="E9" s="147">
        <v>7953911.6799999997</v>
      </c>
      <c r="F9" s="147">
        <v>0</v>
      </c>
      <c r="G9" s="7">
        <f t="shared" si="0"/>
        <v>7953911.6799999997</v>
      </c>
      <c r="H9" s="7">
        <f t="shared" si="1"/>
        <v>-5153911.68</v>
      </c>
      <c r="I9" s="33">
        <f t="shared" ref="I9:I22" si="2">IF(C9=0,"NA",H9/C9)</f>
        <v>-1.8406827428571428</v>
      </c>
      <c r="J9" s="42"/>
      <c r="K9"/>
      <c r="L9" s="131"/>
      <c r="M9" s="131"/>
      <c r="N9" s="131"/>
      <c r="O9" s="131"/>
      <c r="P9" s="131"/>
      <c r="R9" s="130"/>
      <c r="S9" s="130"/>
      <c r="T9" s="130"/>
      <c r="U9" s="130"/>
      <c r="V9" s="130"/>
    </row>
    <row r="10" spans="1:22" s="5" customFormat="1" x14ac:dyDescent="0.2">
      <c r="A10" s="6" t="s">
        <v>10</v>
      </c>
      <c r="B10" s="147">
        <v>0</v>
      </c>
      <c r="C10" s="147">
        <v>0</v>
      </c>
      <c r="D10" s="147">
        <v>0</v>
      </c>
      <c r="E10" s="147">
        <v>0</v>
      </c>
      <c r="F10" s="147">
        <v>0</v>
      </c>
      <c r="G10" s="7">
        <f t="shared" si="0"/>
        <v>0</v>
      </c>
      <c r="H10" s="7">
        <f t="shared" si="1"/>
        <v>0</v>
      </c>
      <c r="I10" s="33" t="str">
        <f t="shared" si="2"/>
        <v>NA</v>
      </c>
      <c r="J10" s="42"/>
      <c r="K10"/>
      <c r="L10" s="131"/>
      <c r="M10" s="131"/>
      <c r="N10" s="131"/>
      <c r="O10" s="131"/>
      <c r="P10" s="131"/>
      <c r="R10" s="130"/>
      <c r="S10" s="130"/>
      <c r="T10" s="130"/>
      <c r="U10" s="130"/>
      <c r="V10" s="130"/>
    </row>
    <row r="11" spans="1:22" s="5" customFormat="1" x14ac:dyDescent="0.2">
      <c r="A11" s="6" t="s">
        <v>11</v>
      </c>
      <c r="B11" s="148">
        <v>0</v>
      </c>
      <c r="C11" s="148">
        <v>0</v>
      </c>
      <c r="D11" s="148">
        <v>0</v>
      </c>
      <c r="E11" s="148">
        <v>20000000</v>
      </c>
      <c r="F11" s="148">
        <v>0</v>
      </c>
      <c r="G11" s="7">
        <f t="shared" si="0"/>
        <v>20000000</v>
      </c>
      <c r="H11" s="7">
        <f t="shared" si="1"/>
        <v>-20000000</v>
      </c>
      <c r="I11" s="33" t="str">
        <f t="shared" si="2"/>
        <v>NA</v>
      </c>
      <c r="J11" s="42"/>
      <c r="K11"/>
      <c r="L11" s="131"/>
      <c r="M11" s="131"/>
      <c r="N11" s="131"/>
      <c r="O11" s="131"/>
      <c r="P11" s="131"/>
      <c r="R11" s="130"/>
      <c r="S11" s="130"/>
      <c r="T11" s="130"/>
      <c r="U11" s="130"/>
      <c r="V11" s="130"/>
    </row>
    <row r="12" spans="1:22" s="5" customFormat="1" ht="24.95" customHeight="1" x14ac:dyDescent="0.25">
      <c r="A12" s="10" t="s">
        <v>12</v>
      </c>
      <c r="B12" s="11">
        <f>SUM(B8:B11)</f>
        <v>431800000</v>
      </c>
      <c r="C12" s="11">
        <f t="shared" ref="C12:F12" si="3">SUM(C8:C11)</f>
        <v>431800000</v>
      </c>
      <c r="D12" s="11">
        <f t="shared" si="3"/>
        <v>15651851.84</v>
      </c>
      <c r="E12" s="11">
        <f t="shared" si="3"/>
        <v>53893035.689999998</v>
      </c>
      <c r="F12" s="11">
        <f t="shared" si="3"/>
        <v>0</v>
      </c>
      <c r="G12" s="11">
        <f t="shared" ref="G12:H12" si="4">SUM(G8:G11)</f>
        <v>53893035.689999998</v>
      </c>
      <c r="H12" s="11">
        <f t="shared" si="4"/>
        <v>377906964.31</v>
      </c>
      <c r="I12" s="34">
        <f t="shared" si="2"/>
        <v>0.87518982007874013</v>
      </c>
      <c r="L12" s="1"/>
      <c r="M12" s="1"/>
      <c r="N12" s="1"/>
      <c r="O12" s="1"/>
      <c r="P12" s="1"/>
      <c r="Q12" s="1"/>
      <c r="R12" s="130"/>
      <c r="S12" s="130"/>
      <c r="T12" s="130"/>
      <c r="U12" s="130"/>
      <c r="V12" s="130"/>
    </row>
    <row r="13" spans="1:22" s="5" customFormat="1" x14ac:dyDescent="0.2">
      <c r="A13" s="12" t="s">
        <v>13</v>
      </c>
      <c r="B13" s="13">
        <v>0</v>
      </c>
      <c r="C13" s="13">
        <v>9920000</v>
      </c>
      <c r="D13" s="13">
        <v>155715.26999999999</v>
      </c>
      <c r="E13" s="13">
        <v>934058.52</v>
      </c>
      <c r="F13" s="13">
        <v>1685263.24</v>
      </c>
      <c r="G13" s="7">
        <f t="shared" si="0"/>
        <v>2619321.7599999998</v>
      </c>
      <c r="H13" s="7">
        <f t="shared" ref="H13:H21" si="5">C13-G13</f>
        <v>7300678.2400000002</v>
      </c>
      <c r="I13" s="37">
        <f t="shared" si="2"/>
        <v>0.73595546774193554</v>
      </c>
      <c r="J13" s="42"/>
      <c r="R13" s="130"/>
      <c r="S13" s="130"/>
      <c r="T13" s="130"/>
      <c r="U13" s="130"/>
      <c r="V13" s="130"/>
    </row>
    <row r="14" spans="1:22" s="5" customFormat="1" x14ac:dyDescent="0.25">
      <c r="A14" s="6" t="s">
        <v>15</v>
      </c>
      <c r="B14" s="7">
        <v>0</v>
      </c>
      <c r="C14" s="7">
        <v>44245656</v>
      </c>
      <c r="D14" s="7">
        <v>525828.93999999994</v>
      </c>
      <c r="E14" s="7">
        <v>1338488.94</v>
      </c>
      <c r="F14" s="7">
        <v>29780540.219999999</v>
      </c>
      <c r="G14" s="7">
        <f t="shared" ref="G14" si="6">SUM(E14:F14)</f>
        <v>31119029.16</v>
      </c>
      <c r="H14" s="7">
        <f t="shared" ref="H14:H15" si="7">C14-G14</f>
        <v>13126626.84</v>
      </c>
      <c r="I14" s="37">
        <f t="shared" ref="I14:I15" si="8">IF(C14=0,"NA",H14/C14)</f>
        <v>0.29667605877512587</v>
      </c>
      <c r="J14" s="42"/>
      <c r="K14" s="1"/>
      <c r="L14" s="1"/>
      <c r="M14" s="1"/>
      <c r="R14" s="130"/>
      <c r="S14" s="130"/>
      <c r="T14" s="130"/>
      <c r="U14" s="130"/>
      <c r="V14" s="130"/>
    </row>
    <row r="15" spans="1:22" s="5" customFormat="1" x14ac:dyDescent="0.25">
      <c r="A15" s="149" t="s">
        <v>18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ref="G15" si="9">SUM(E15:F15)</f>
        <v>0</v>
      </c>
      <c r="H15" s="7">
        <f t="shared" si="7"/>
        <v>0</v>
      </c>
      <c r="I15" s="37" t="str">
        <f t="shared" si="8"/>
        <v>NA</v>
      </c>
      <c r="J15" s="42"/>
      <c r="K15" s="1"/>
      <c r="L15" s="1"/>
      <c r="M15" s="1"/>
      <c r="N15" s="1"/>
      <c r="R15" s="130"/>
      <c r="S15" s="130"/>
      <c r="T15" s="130"/>
      <c r="U15" s="130"/>
      <c r="V15" s="130"/>
    </row>
    <row r="16" spans="1:22" s="5" customFormat="1" x14ac:dyDescent="0.25">
      <c r="A16" s="6" t="s">
        <v>70</v>
      </c>
      <c r="B16" s="7">
        <v>10045882.43</v>
      </c>
      <c r="C16" s="7">
        <v>10993913.92</v>
      </c>
      <c r="D16" s="7">
        <v>81128.62</v>
      </c>
      <c r="E16" s="7">
        <v>214219.68000000005</v>
      </c>
      <c r="F16" s="7">
        <v>32075.469999999998</v>
      </c>
      <c r="G16" s="7">
        <f t="shared" si="0"/>
        <v>246295.15000000005</v>
      </c>
      <c r="H16" s="7">
        <f t="shared" si="5"/>
        <v>10747618.77</v>
      </c>
      <c r="I16" s="37">
        <f t="shared" ref="I16" si="10">IF(C16=0,"NA",H16/C16)</f>
        <v>0.97759713676200943</v>
      </c>
      <c r="J16" s="42"/>
      <c r="L16" s="1"/>
      <c r="M16" s="1"/>
      <c r="N16" s="1"/>
      <c r="O16" s="1"/>
      <c r="P16" s="1"/>
      <c r="Q16" s="1"/>
      <c r="R16" s="130"/>
      <c r="S16" s="130"/>
      <c r="T16" s="130"/>
      <c r="U16" s="130"/>
      <c r="V16" s="130"/>
    </row>
    <row r="17" spans="1:22" s="5" customFormat="1" x14ac:dyDescent="0.25">
      <c r="A17" s="6" t="s">
        <v>21</v>
      </c>
      <c r="B17" s="7">
        <v>1000000</v>
      </c>
      <c r="C17" s="7">
        <v>2824492.95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5"/>
        <v>2824492.95</v>
      </c>
      <c r="I17" s="37">
        <f>IF(C17=0,"NA",H17/C17)</f>
        <v>1</v>
      </c>
      <c r="J17" s="42"/>
      <c r="K17" s="129"/>
      <c r="L17" s="129"/>
      <c r="M17" s="129"/>
      <c r="N17" s="129"/>
      <c r="O17" s="1"/>
      <c r="P17" s="1"/>
      <c r="Q17" s="1"/>
      <c r="R17" s="129"/>
      <c r="S17" s="130"/>
      <c r="T17" s="130"/>
      <c r="U17" s="130"/>
      <c r="V17" s="130"/>
    </row>
    <row r="18" spans="1:22" s="5" customFormat="1" x14ac:dyDescent="0.25">
      <c r="A18" s="6" t="s">
        <v>22</v>
      </c>
      <c r="B18" s="7">
        <v>18000000</v>
      </c>
      <c r="C18" s="7">
        <v>18000000</v>
      </c>
      <c r="D18" s="7">
        <v>0</v>
      </c>
      <c r="E18" s="7">
        <v>541939.06000000006</v>
      </c>
      <c r="F18" s="7">
        <v>9497911.9800000004</v>
      </c>
      <c r="G18" s="7">
        <f t="shared" si="0"/>
        <v>10039851.040000001</v>
      </c>
      <c r="H18" s="7">
        <f t="shared" si="5"/>
        <v>7960148.959999999</v>
      </c>
      <c r="I18" s="37">
        <f>IF(C18=0,"NA",H18/C18)</f>
        <v>0.44223049777777773</v>
      </c>
      <c r="J18" s="42"/>
      <c r="K18" s="129"/>
      <c r="L18" s="129"/>
      <c r="M18" s="129"/>
      <c r="N18" s="129"/>
      <c r="O18" s="1"/>
      <c r="P18" s="1"/>
      <c r="Q18" s="1"/>
      <c r="R18" s="129"/>
      <c r="S18" s="129"/>
      <c r="T18" s="130"/>
      <c r="U18" s="130"/>
      <c r="V18" s="130"/>
    </row>
    <row r="19" spans="1:22" s="5" customFormat="1" x14ac:dyDescent="0.25">
      <c r="A19" s="6" t="s">
        <v>73</v>
      </c>
      <c r="B19" s="7">
        <v>729323049.63999987</v>
      </c>
      <c r="C19" s="7">
        <v>773305459.3499999</v>
      </c>
      <c r="D19" s="7">
        <v>9542901.2300000004</v>
      </c>
      <c r="E19" s="7">
        <v>54790918.789999992</v>
      </c>
      <c r="F19" s="7">
        <v>136064638.72</v>
      </c>
      <c r="G19" s="7">
        <f t="shared" si="0"/>
        <v>190855557.50999999</v>
      </c>
      <c r="H19" s="7">
        <f t="shared" si="5"/>
        <v>582449901.83999991</v>
      </c>
      <c r="I19" s="37">
        <f t="shared" si="2"/>
        <v>0.75319512464010896</v>
      </c>
      <c r="J19" s="42"/>
      <c r="K19" s="129"/>
      <c r="L19" s="129"/>
      <c r="M19" s="129"/>
      <c r="N19" s="129"/>
      <c r="O19" s="1"/>
      <c r="P19" s="1"/>
      <c r="Q19" s="1"/>
      <c r="R19" s="1"/>
      <c r="S19" s="129"/>
      <c r="T19" s="130"/>
      <c r="U19" s="130"/>
      <c r="V19" s="130"/>
    </row>
    <row r="20" spans="1:22" s="5" customFormat="1" x14ac:dyDescent="0.25">
      <c r="A20" s="6" t="s">
        <v>25</v>
      </c>
      <c r="B20" s="7">
        <v>83403442</v>
      </c>
      <c r="C20" s="7">
        <v>83403442</v>
      </c>
      <c r="D20" s="7">
        <v>0</v>
      </c>
      <c r="E20" s="7">
        <v>0</v>
      </c>
      <c r="F20" s="7">
        <v>0</v>
      </c>
      <c r="G20" s="7">
        <f t="shared" si="0"/>
        <v>0</v>
      </c>
      <c r="H20" s="7">
        <f t="shared" si="5"/>
        <v>83403442</v>
      </c>
      <c r="I20" s="37">
        <f t="shared" si="2"/>
        <v>1</v>
      </c>
      <c r="J20" s="42"/>
      <c r="K20" s="1"/>
      <c r="L20" s="129"/>
      <c r="M20" s="129"/>
      <c r="N20" s="129"/>
      <c r="O20" s="129"/>
      <c r="P20" s="129"/>
      <c r="Q20" s="1"/>
      <c r="R20" s="1"/>
      <c r="S20" s="129"/>
      <c r="T20" s="1"/>
      <c r="U20" s="130"/>
      <c r="V20" s="130"/>
    </row>
    <row r="21" spans="1:22" s="5" customFormat="1" x14ac:dyDescent="0.25">
      <c r="A21" s="6" t="s">
        <v>24</v>
      </c>
      <c r="B21" s="7">
        <v>5572080</v>
      </c>
      <c r="C21" s="7">
        <v>5572080</v>
      </c>
      <c r="D21" s="7">
        <v>0</v>
      </c>
      <c r="E21" s="7">
        <v>0</v>
      </c>
      <c r="F21" s="7">
        <v>0</v>
      </c>
      <c r="G21" s="7">
        <f t="shared" si="0"/>
        <v>0</v>
      </c>
      <c r="H21" s="7">
        <f t="shared" si="5"/>
        <v>5572080</v>
      </c>
      <c r="I21" s="37">
        <f t="shared" si="2"/>
        <v>1</v>
      </c>
      <c r="J21" s="42"/>
      <c r="K21" s="1"/>
      <c r="L21" s="129"/>
      <c r="M21" s="129"/>
      <c r="N21" s="129"/>
      <c r="O21" s="129"/>
      <c r="P21" s="129"/>
      <c r="Q21" s="1"/>
      <c r="R21" s="1"/>
      <c r="S21" s="129"/>
      <c r="T21" s="1"/>
      <c r="U21" s="130"/>
      <c r="V21" s="130"/>
    </row>
    <row r="22" spans="1:22" s="5" customFormat="1" x14ac:dyDescent="0.25">
      <c r="A22" s="10" t="s">
        <v>26</v>
      </c>
      <c r="B22" s="11">
        <f t="shared" ref="B22:H22" si="11">SUM(B13:B21)</f>
        <v>847344454.06999981</v>
      </c>
      <c r="C22" s="11">
        <f t="shared" si="11"/>
        <v>948265044.21999991</v>
      </c>
      <c r="D22" s="11">
        <f t="shared" si="11"/>
        <v>10305574.060000001</v>
      </c>
      <c r="E22" s="11">
        <f t="shared" si="11"/>
        <v>57819624.989999995</v>
      </c>
      <c r="F22" s="11">
        <f t="shared" si="11"/>
        <v>177060429.63</v>
      </c>
      <c r="G22" s="11">
        <f t="shared" si="11"/>
        <v>234880054.62</v>
      </c>
      <c r="H22" s="11">
        <f t="shared" si="11"/>
        <v>713384989.5999999</v>
      </c>
      <c r="I22" s="34">
        <f t="shared" si="2"/>
        <v>0.75230548035944766</v>
      </c>
      <c r="K22" s="1"/>
      <c r="L22" s="129"/>
      <c r="M22" s="129"/>
      <c r="N22" s="129"/>
      <c r="O22" s="129"/>
      <c r="P22" s="129"/>
      <c r="Q22" s="1"/>
      <c r="R22" s="129"/>
      <c r="S22" s="129"/>
      <c r="T22" s="129"/>
      <c r="U22" s="130"/>
      <c r="V22" s="130"/>
    </row>
    <row r="23" spans="1:22" s="5" customFormat="1" x14ac:dyDescent="0.25">
      <c r="A23" s="12"/>
      <c r="B23" s="13"/>
      <c r="C23" s="13"/>
      <c r="D23" s="13"/>
      <c r="E23" s="13"/>
      <c r="F23" s="13"/>
      <c r="G23" s="13"/>
      <c r="H23" s="13"/>
      <c r="I23" s="15"/>
      <c r="J23" s="42"/>
      <c r="K23" s="129"/>
      <c r="L23" s="129"/>
      <c r="M23" s="129"/>
      <c r="N23" s="129"/>
      <c r="O23" s="1"/>
      <c r="P23" s="1"/>
      <c r="Q23" s="129"/>
      <c r="R23" s="129"/>
      <c r="S23" s="129"/>
      <c r="T23" s="129"/>
      <c r="U23" s="130"/>
      <c r="V23" s="130"/>
    </row>
    <row r="24" spans="1:22" s="5" customFormat="1" x14ac:dyDescent="0.25">
      <c r="A24" s="6" t="s">
        <v>27</v>
      </c>
      <c r="B24" s="7">
        <f>B12-B22</f>
        <v>-415544454.06999981</v>
      </c>
      <c r="C24" s="7">
        <f>C12-C22</f>
        <v>-516465044.21999991</v>
      </c>
      <c r="D24" s="7">
        <f>D12-D22</f>
        <v>5346277.7799999993</v>
      </c>
      <c r="E24" s="7">
        <f>E12-E22</f>
        <v>-3926589.299999997</v>
      </c>
      <c r="F24" s="7"/>
      <c r="G24" s="7">
        <f>G12-G22</f>
        <v>-180987018.93000001</v>
      </c>
      <c r="H24" s="7">
        <f>H12-H22</f>
        <v>-335478025.2899999</v>
      </c>
      <c r="I24" s="16"/>
      <c r="K24" s="129"/>
      <c r="L24" s="129"/>
      <c r="M24" s="129"/>
      <c r="N24" s="129"/>
      <c r="O24" s="1"/>
      <c r="P24" s="1"/>
      <c r="Q24" s="129"/>
      <c r="R24" s="129"/>
      <c r="S24" s="129"/>
      <c r="T24" s="129"/>
      <c r="U24" s="1"/>
      <c r="V24" s="130"/>
    </row>
    <row r="25" spans="1:22" s="5" customFormat="1" ht="24.95" customHeight="1" x14ac:dyDescent="0.25">
      <c r="A25" s="8"/>
      <c r="B25" s="9"/>
      <c r="C25" s="9"/>
      <c r="D25" s="9"/>
      <c r="E25" s="9"/>
      <c r="F25" s="9"/>
      <c r="G25" s="9"/>
      <c r="H25" s="9"/>
      <c r="I25" s="17"/>
      <c r="K25" s="129"/>
      <c r="L25" s="129"/>
      <c r="M25" s="129"/>
      <c r="N25" s="129"/>
      <c r="O25" s="1"/>
      <c r="P25" s="1"/>
      <c r="Q25" s="129"/>
      <c r="R25" s="129"/>
      <c r="S25" s="129"/>
      <c r="T25" s="129"/>
      <c r="U25" s="1"/>
      <c r="V25" s="130"/>
    </row>
    <row r="26" spans="1:22" x14ac:dyDescent="0.25">
      <c r="A26" s="18" t="s">
        <v>67</v>
      </c>
      <c r="B26" s="20"/>
      <c r="C26" s="20"/>
      <c r="D26" s="20"/>
      <c r="E26" s="145">
        <v>618640044.99000001</v>
      </c>
      <c r="F26" s="20"/>
      <c r="G26" s="20">
        <f>E26</f>
        <v>618640044.99000001</v>
      </c>
      <c r="H26" s="20"/>
      <c r="I26" s="21"/>
      <c r="J26" s="43"/>
      <c r="K26" s="129"/>
      <c r="O26" s="1"/>
      <c r="P26" s="1"/>
      <c r="Q26" s="129"/>
      <c r="R26" s="129"/>
      <c r="S26" s="129"/>
      <c r="T26" s="129"/>
    </row>
    <row r="27" spans="1:22" ht="15.75" thickBot="1" x14ac:dyDescent="0.3">
      <c r="A27" s="22" t="s">
        <v>28</v>
      </c>
      <c r="B27" s="24"/>
      <c r="C27" s="24"/>
      <c r="D27" s="24"/>
      <c r="E27" s="24">
        <f>SUM(E24:E26)</f>
        <v>614713455.69000006</v>
      </c>
      <c r="F27" s="24"/>
      <c r="G27" s="24">
        <f>SUM(G24:G26)</f>
        <v>437653026.06</v>
      </c>
      <c r="H27" s="24"/>
      <c r="I27" s="25"/>
      <c r="K27" s="129"/>
      <c r="O27" s="1"/>
      <c r="P27" s="1"/>
      <c r="Q27" s="129"/>
      <c r="R27" s="129"/>
      <c r="S27" s="129"/>
      <c r="T27" s="129"/>
      <c r="U27" s="129"/>
    </row>
    <row r="28" spans="1:22" x14ac:dyDescent="0.25">
      <c r="A28" s="5"/>
      <c r="B28" s="31"/>
      <c r="C28" s="31"/>
      <c r="D28" s="31"/>
      <c r="E28" s="31"/>
      <c r="F28" s="31"/>
      <c r="G28" s="31"/>
      <c r="H28" s="31"/>
      <c r="I28" s="5"/>
      <c r="S28" s="129"/>
      <c r="T28" s="129"/>
      <c r="U28" s="129"/>
    </row>
    <row r="29" spans="1:22" s="129" customFormat="1" x14ac:dyDescent="0.25">
      <c r="H29" s="140"/>
      <c r="K29" s="1"/>
      <c r="Q29" s="1"/>
      <c r="R29" s="1"/>
      <c r="S29" s="1"/>
    </row>
    <row r="30" spans="1:22" s="129" customFormat="1" x14ac:dyDescent="0.25">
      <c r="B30" s="140"/>
      <c r="K30" s="1"/>
      <c r="Q30" s="1"/>
      <c r="R30" s="1"/>
      <c r="S30" s="1"/>
    </row>
    <row r="31" spans="1:22" s="129" customFormat="1" x14ac:dyDescent="0.25">
      <c r="D31" s="140"/>
      <c r="K31" s="1"/>
      <c r="Q31" s="1"/>
      <c r="R31" s="1"/>
      <c r="S31" s="1"/>
      <c r="T31" s="1"/>
    </row>
    <row r="32" spans="1:22" s="129" customFormat="1" x14ac:dyDescent="0.25">
      <c r="I32" s="1"/>
      <c r="K32" s="1"/>
      <c r="Q32" s="1"/>
      <c r="R32" s="1"/>
      <c r="S32" s="1"/>
      <c r="T32" s="1"/>
    </row>
    <row r="33" spans="2:21" s="129" customFormat="1" x14ac:dyDescent="0.25">
      <c r="C33" s="1"/>
      <c r="E33" s="1"/>
      <c r="G33" s="1"/>
      <c r="I33" s="1"/>
      <c r="K33" s="1"/>
      <c r="Q33" s="1"/>
      <c r="R33" s="1"/>
      <c r="S33" s="1"/>
      <c r="T33" s="1"/>
    </row>
    <row r="34" spans="2:21" s="129" customFormat="1" x14ac:dyDescent="0.25">
      <c r="C34" s="1"/>
      <c r="E34" s="1"/>
      <c r="G34" s="1"/>
      <c r="I34" s="1"/>
      <c r="K34" s="1"/>
      <c r="Q34" s="1"/>
      <c r="R34" s="1"/>
      <c r="S34" s="1"/>
      <c r="T34" s="1"/>
    </row>
    <row r="35" spans="2:21" s="129" customFormat="1" x14ac:dyDescent="0.25">
      <c r="I35" s="1"/>
      <c r="K35" s="1"/>
      <c r="Q35" s="1"/>
      <c r="R35" s="1"/>
      <c r="S35" s="1"/>
      <c r="T35" s="1"/>
      <c r="U35" s="1"/>
    </row>
    <row r="36" spans="2:21" s="129" customFormat="1" x14ac:dyDescent="0.25">
      <c r="K36" s="1"/>
      <c r="Q36" s="1"/>
      <c r="R36" s="1"/>
      <c r="S36" s="1"/>
      <c r="T36" s="1"/>
      <c r="U36" s="1"/>
    </row>
    <row r="37" spans="2:21" x14ac:dyDescent="0.25">
      <c r="B37" s="129"/>
      <c r="C37" s="129"/>
      <c r="D37" s="129"/>
      <c r="E37" s="129"/>
      <c r="F37" s="129"/>
      <c r="G37" s="129"/>
      <c r="H37" s="129"/>
      <c r="I37" s="129"/>
      <c r="J37" s="129"/>
    </row>
    <row r="38" spans="2:21" x14ac:dyDescent="0.25">
      <c r="B38" s="129"/>
      <c r="C38" s="129"/>
      <c r="D38" s="129"/>
      <c r="E38" s="129"/>
      <c r="F38" s="129"/>
      <c r="G38" s="129"/>
      <c r="H38" s="129"/>
      <c r="I38" s="129"/>
      <c r="J38" s="129"/>
    </row>
    <row r="39" spans="2:21" x14ac:dyDescent="0.25">
      <c r="B39" s="129"/>
      <c r="C39" s="129"/>
      <c r="D39" s="129"/>
      <c r="E39" s="129"/>
      <c r="F39" s="129"/>
      <c r="J39" s="129"/>
    </row>
    <row r="40" spans="2:21" x14ac:dyDescent="0.25">
      <c r="B40" s="129"/>
      <c r="C40" s="129"/>
      <c r="D40" s="129"/>
      <c r="E40" s="129"/>
      <c r="F40" s="129"/>
      <c r="J40" s="129"/>
    </row>
    <row r="41" spans="2:21" x14ac:dyDescent="0.25">
      <c r="I41" s="28"/>
    </row>
    <row r="42" spans="2:21" x14ac:dyDescent="0.25">
      <c r="I42" s="28"/>
    </row>
    <row r="43" spans="2:21" x14ac:dyDescent="0.25">
      <c r="I43" s="28"/>
    </row>
    <row r="44" spans="2:21" x14ac:dyDescent="0.25">
      <c r="I44" s="28"/>
    </row>
    <row r="45" spans="2:21" x14ac:dyDescent="0.25">
      <c r="I45" s="28"/>
    </row>
    <row r="46" spans="2:21" x14ac:dyDescent="0.25">
      <c r="I46" s="28"/>
    </row>
    <row r="47" spans="2:21" x14ac:dyDescent="0.25">
      <c r="I47" s="28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XFD40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.140625" style="28" bestFit="1" customWidth="1"/>
    <col min="4" max="4" width="13.42578125" style="28" bestFit="1" customWidth="1"/>
    <col min="5" max="5" width="13.5703125" style="28" bestFit="1" customWidth="1"/>
    <col min="6" max="6" width="16.85546875" style="28" customWidth="1"/>
    <col min="7" max="7" width="13.7109375" style="28" bestFit="1" customWidth="1"/>
    <col min="8" max="8" width="13.5703125" style="28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30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20" width="9.140625" style="1"/>
    <col min="21" max="22" width="12.42578125" style="1" bestFit="1" customWidth="1"/>
    <col min="23" max="16384" width="9.140625" style="1"/>
  </cols>
  <sheetData>
    <row r="1" spans="1:23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23" ht="18.75" x14ac:dyDescent="0.3">
      <c r="A2" s="151" t="s">
        <v>81</v>
      </c>
      <c r="B2" s="151"/>
      <c r="C2" s="151"/>
      <c r="D2" s="151"/>
      <c r="E2" s="151"/>
      <c r="F2" s="151"/>
      <c r="G2" s="151"/>
      <c r="H2" s="151"/>
      <c r="I2" s="151"/>
    </row>
    <row r="3" spans="1:23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</row>
    <row r="4" spans="1:23" x14ac:dyDescent="0.25">
      <c r="A4" s="152">
        <v>45565</v>
      </c>
      <c r="B4" s="152"/>
      <c r="C4" s="152"/>
      <c r="D4" s="152"/>
      <c r="E4" s="152"/>
      <c r="F4" s="152"/>
      <c r="G4" s="152"/>
      <c r="H4" s="152"/>
      <c r="I4" s="152"/>
    </row>
    <row r="5" spans="1:23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</row>
    <row r="6" spans="1:23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</row>
    <row r="7" spans="1:23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M7" s="130"/>
      <c r="N7" s="130"/>
      <c r="O7" s="130"/>
      <c r="P7" s="130"/>
      <c r="Q7" s="130"/>
      <c r="R7" s="130"/>
    </row>
    <row r="8" spans="1:23" s="5" customFormat="1" x14ac:dyDescent="0.2">
      <c r="A8" s="6" t="s">
        <v>8</v>
      </c>
      <c r="B8" s="7">
        <v>69574270.079999998</v>
      </c>
      <c r="C8" s="7">
        <v>69574270.079999998</v>
      </c>
      <c r="D8" s="7">
        <v>54398.18</v>
      </c>
      <c r="E8" s="7">
        <v>337135.94000000006</v>
      </c>
      <c r="F8" s="7">
        <v>0</v>
      </c>
      <c r="G8" s="7">
        <f t="shared" ref="G8:G17" si="0">SUM(E8:F8)</f>
        <v>337135.94000000006</v>
      </c>
      <c r="H8" s="7">
        <f t="shared" ref="H8:H12" si="1">C8-G8</f>
        <v>69237134.140000001</v>
      </c>
      <c r="I8" s="37">
        <f>IF(C8=0,"NA",H8/C8)</f>
        <v>0.99515430144488271</v>
      </c>
      <c r="L8"/>
      <c r="M8" s="131"/>
      <c r="N8" s="131"/>
      <c r="O8" s="131"/>
      <c r="P8" s="131"/>
      <c r="Q8" s="131"/>
      <c r="R8" s="130"/>
      <c r="S8" s="130"/>
      <c r="T8" s="130"/>
      <c r="U8" s="130"/>
      <c r="V8" s="130"/>
      <c r="W8" s="130"/>
    </row>
    <row r="9" spans="1:23" s="5" customFormat="1" x14ac:dyDescent="0.2">
      <c r="A9" s="6" t="s">
        <v>9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0</v>
      </c>
      <c r="I9" s="37" t="str">
        <f t="shared" ref="I9:I18" si="2">IF(C9=0,"NA",H9/C9)</f>
        <v>NA</v>
      </c>
      <c r="L9"/>
      <c r="M9" s="131"/>
      <c r="N9" s="131"/>
      <c r="O9" s="131"/>
      <c r="P9" s="131"/>
      <c r="Q9" s="131"/>
      <c r="R9" s="130"/>
      <c r="S9" s="130"/>
      <c r="T9" s="130"/>
      <c r="U9" s="130"/>
      <c r="V9" s="130"/>
      <c r="W9" s="130"/>
    </row>
    <row r="10" spans="1:23" s="5" customFormat="1" x14ac:dyDescent="0.2">
      <c r="A10" s="6" t="s">
        <v>10</v>
      </c>
      <c r="B10" s="7">
        <v>0</v>
      </c>
      <c r="C10" s="7">
        <v>0</v>
      </c>
      <c r="D10" s="7">
        <v>135316.99999999994</v>
      </c>
      <c r="E10" s="7">
        <v>375093.00000000006</v>
      </c>
      <c r="F10" s="7">
        <v>0</v>
      </c>
      <c r="G10" s="7">
        <f t="shared" si="0"/>
        <v>375093.00000000006</v>
      </c>
      <c r="H10" s="7">
        <f t="shared" si="1"/>
        <v>-375093.00000000006</v>
      </c>
      <c r="I10" s="37" t="str">
        <f t="shared" si="2"/>
        <v>NA</v>
      </c>
      <c r="L10"/>
      <c r="M10" s="131"/>
      <c r="N10" s="131"/>
      <c r="O10" s="131"/>
      <c r="P10" s="131"/>
      <c r="Q10" s="131"/>
      <c r="R10" s="130"/>
      <c r="S10" s="130"/>
      <c r="T10" s="130"/>
      <c r="U10" s="130"/>
      <c r="V10" s="130"/>
      <c r="W10" s="130"/>
    </row>
    <row r="11" spans="1:23" s="5" customFormat="1" x14ac:dyDescent="0.2">
      <c r="A11" s="6" t="s">
        <v>74</v>
      </c>
      <c r="B11" s="7">
        <v>11794465</v>
      </c>
      <c r="C11" s="7">
        <v>16805190.230000004</v>
      </c>
      <c r="D11" s="7">
        <v>6431634.3200000012</v>
      </c>
      <c r="E11" s="7">
        <v>13093205.850000007</v>
      </c>
      <c r="F11" s="7">
        <v>0</v>
      </c>
      <c r="G11" s="7">
        <f t="shared" si="0"/>
        <v>13093205.850000007</v>
      </c>
      <c r="H11" s="7">
        <f t="shared" si="1"/>
        <v>3711984.3799999971</v>
      </c>
      <c r="I11" s="37">
        <f t="shared" si="2"/>
        <v>0.22088321103164307</v>
      </c>
      <c r="L11"/>
      <c r="M11" s="131"/>
      <c r="N11" s="131"/>
      <c r="O11" s="131"/>
      <c r="P11" s="131"/>
      <c r="Q11" s="131"/>
      <c r="R11" s="130"/>
      <c r="S11" s="130"/>
      <c r="T11" s="130"/>
      <c r="U11" s="130"/>
      <c r="V11" s="130"/>
      <c r="W11" s="130"/>
    </row>
    <row r="12" spans="1:23" s="5" customFormat="1" x14ac:dyDescent="0.2">
      <c r="A12" s="8" t="s">
        <v>11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0</v>
      </c>
      <c r="I12" s="37" t="str">
        <f t="shared" si="2"/>
        <v>NA</v>
      </c>
      <c r="L12"/>
      <c r="M12" s="131"/>
      <c r="N12" s="131"/>
      <c r="O12" s="131"/>
      <c r="P12" s="131"/>
      <c r="Q12" s="131"/>
      <c r="R12" s="130"/>
      <c r="S12" s="130"/>
      <c r="T12" s="130"/>
      <c r="U12" s="130"/>
      <c r="V12" s="130"/>
      <c r="W12" s="130"/>
    </row>
    <row r="13" spans="1:23" s="5" customFormat="1" ht="24.95" customHeight="1" x14ac:dyDescent="0.25">
      <c r="A13" s="10" t="s">
        <v>12</v>
      </c>
      <c r="B13" s="11">
        <f>SUM(B8:B12)</f>
        <v>81368735.079999998</v>
      </c>
      <c r="C13" s="11">
        <f t="shared" ref="C13:H13" si="3">SUM(C8:C12)</f>
        <v>86379460.310000002</v>
      </c>
      <c r="D13" s="11">
        <f t="shared" si="3"/>
        <v>6621349.5000000009</v>
      </c>
      <c r="E13" s="11">
        <f t="shared" si="3"/>
        <v>13805434.790000007</v>
      </c>
      <c r="F13" s="11">
        <f t="shared" si="3"/>
        <v>0</v>
      </c>
      <c r="G13" s="11">
        <f t="shared" si="3"/>
        <v>13805434.790000007</v>
      </c>
      <c r="H13" s="11">
        <f t="shared" si="3"/>
        <v>72574025.519999996</v>
      </c>
      <c r="I13" s="34">
        <f t="shared" si="2"/>
        <v>0.84017688070225449</v>
      </c>
      <c r="L13" s="1"/>
      <c r="M13" s="1"/>
      <c r="N13" s="1"/>
      <c r="O13" s="1"/>
      <c r="P13" s="1"/>
      <c r="Q13" s="1"/>
      <c r="R13" s="1"/>
      <c r="S13" s="130"/>
      <c r="T13" s="130"/>
      <c r="U13" s="130"/>
      <c r="V13" s="130"/>
      <c r="W13" s="130"/>
    </row>
    <row r="14" spans="1:23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37" t="str">
        <f t="shared" si="2"/>
        <v>NA</v>
      </c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</row>
    <row r="15" spans="1:23" s="5" customFormat="1" x14ac:dyDescent="0.2">
      <c r="A15" s="6" t="s">
        <v>20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37" t="str">
        <f t="shared" si="2"/>
        <v>NA</v>
      </c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</row>
    <row r="16" spans="1:23" s="5" customFormat="1" x14ac:dyDescent="0.25">
      <c r="A16" s="6" t="s">
        <v>29</v>
      </c>
      <c r="B16" s="7">
        <v>84549893.730000004</v>
      </c>
      <c r="C16" s="7">
        <v>89560618.960000008</v>
      </c>
      <c r="D16" s="7">
        <v>5118744.6199999982</v>
      </c>
      <c r="E16" s="7">
        <v>7524053.3500000108</v>
      </c>
      <c r="F16" s="7">
        <v>10503059.409999998</v>
      </c>
      <c r="G16" s="7">
        <f t="shared" si="0"/>
        <v>18027112.760000009</v>
      </c>
      <c r="H16" s="7">
        <f t="shared" si="4"/>
        <v>71533506.200000003</v>
      </c>
      <c r="I16" s="37">
        <f t="shared" si="2"/>
        <v>0.7987160766714736</v>
      </c>
      <c r="L16" s="1"/>
      <c r="M16" s="1"/>
      <c r="N16" s="1"/>
      <c r="O16" s="1"/>
      <c r="P16" s="1"/>
      <c r="Q16" s="1"/>
      <c r="R16" s="1"/>
      <c r="S16" s="1"/>
      <c r="T16" s="1"/>
      <c r="W16" s="130"/>
    </row>
    <row r="17" spans="1:16384" s="5" customFormat="1" x14ac:dyDescent="0.25">
      <c r="A17" s="6" t="s">
        <v>25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37" t="str">
        <f t="shared" si="2"/>
        <v>NA</v>
      </c>
      <c r="L17" s="129"/>
      <c r="M17" s="1"/>
      <c r="N17" s="1"/>
      <c r="O17" s="1"/>
      <c r="P17" s="1"/>
      <c r="Q17" s="1"/>
      <c r="R17" s="1"/>
      <c r="S17" s="1"/>
      <c r="T17" s="1"/>
    </row>
    <row r="18" spans="1:16384" s="5" customFormat="1" ht="24.95" customHeight="1" x14ac:dyDescent="0.25">
      <c r="A18" s="10" t="s">
        <v>26</v>
      </c>
      <c r="B18" s="11">
        <f>SUM(B14:B17)</f>
        <v>84549893.730000004</v>
      </c>
      <c r="C18" s="11">
        <f t="shared" ref="C18:G18" si="5">SUM(C14:C17)</f>
        <v>89560618.960000008</v>
      </c>
      <c r="D18" s="11">
        <f t="shared" si="5"/>
        <v>5118744.6199999982</v>
      </c>
      <c r="E18" s="11">
        <f t="shared" si="5"/>
        <v>7524053.3500000108</v>
      </c>
      <c r="F18" s="11">
        <f t="shared" si="5"/>
        <v>10503059.409999998</v>
      </c>
      <c r="G18" s="11">
        <f t="shared" si="5"/>
        <v>18027112.760000009</v>
      </c>
      <c r="H18" s="11">
        <f t="shared" ref="H18" si="6">SUM(H14:H17)</f>
        <v>71533506.200000003</v>
      </c>
      <c r="I18" s="34">
        <f t="shared" si="2"/>
        <v>0.7987160766714736</v>
      </c>
      <c r="L18" s="129"/>
      <c r="M18" s="1"/>
      <c r="N18" s="1"/>
      <c r="O18" s="1"/>
      <c r="P18" s="1"/>
      <c r="Q18" s="1"/>
      <c r="R18" s="1"/>
      <c r="S18" s="1"/>
      <c r="T18" s="1"/>
      <c r="U18" s="1"/>
    </row>
    <row r="19" spans="1:16384" s="5" customFormat="1" x14ac:dyDescent="0.25">
      <c r="A19" s="12"/>
      <c r="B19" s="13"/>
      <c r="C19" s="13"/>
      <c r="D19" s="13"/>
      <c r="E19" s="13"/>
      <c r="F19" s="13"/>
      <c r="G19" s="13"/>
      <c r="H19" s="13"/>
      <c r="I19" s="15"/>
      <c r="L19" s="129"/>
      <c r="M19" s="1"/>
      <c r="N19" s="1"/>
      <c r="O19" s="1"/>
      <c r="P19" s="1"/>
      <c r="Q19" s="1"/>
      <c r="R19" s="1"/>
      <c r="S19" s="1"/>
      <c r="T19" s="1"/>
      <c r="U19" s="1"/>
    </row>
    <row r="20" spans="1:16384" s="5" customFormat="1" x14ac:dyDescent="0.25">
      <c r="A20" s="6" t="s">
        <v>27</v>
      </c>
      <c r="B20" s="7">
        <f>B13-B18</f>
        <v>-3181158.650000006</v>
      </c>
      <c r="C20" s="7">
        <f>C13-C18</f>
        <v>-3181158.650000006</v>
      </c>
      <c r="D20" s="7">
        <f>D13-D18</f>
        <v>1502604.8800000027</v>
      </c>
      <c r="E20" s="7">
        <f>E13-E18</f>
        <v>6281381.4399999958</v>
      </c>
      <c r="F20" s="7"/>
      <c r="G20" s="7">
        <f>G13-G18</f>
        <v>-4221677.9700000025</v>
      </c>
      <c r="H20" s="7">
        <f>H13-H18</f>
        <v>1040519.3199999928</v>
      </c>
      <c r="I20" s="16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16384" s="5" customFormat="1" x14ac:dyDescent="0.25">
      <c r="A21" s="8"/>
      <c r="B21" s="9"/>
      <c r="C21" s="9"/>
      <c r="D21" s="9"/>
      <c r="E21" s="9"/>
      <c r="F21" s="9"/>
      <c r="G21" s="9"/>
      <c r="H21" s="9"/>
      <c r="I21" s="17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16384" s="5" customFormat="1" x14ac:dyDescent="0.25">
      <c r="A22" s="18" t="s">
        <v>67</v>
      </c>
      <c r="B22" s="20"/>
      <c r="C22" s="20"/>
      <c r="D22" s="20"/>
      <c r="E22" s="145">
        <v>28344820.670000002</v>
      </c>
      <c r="F22" s="20"/>
      <c r="G22" s="20">
        <f>E22</f>
        <v>28344820.670000002</v>
      </c>
      <c r="H22" s="20"/>
      <c r="I22" s="2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16384" s="5" customFormat="1" x14ac:dyDescent="0.25">
      <c r="A23" s="8" t="s">
        <v>28</v>
      </c>
      <c r="B23" s="9"/>
      <c r="C23" s="9"/>
      <c r="D23" s="9"/>
      <c r="E23" s="9">
        <f>SUM(E20:E22)</f>
        <v>34626202.109999999</v>
      </c>
      <c r="F23" s="9"/>
      <c r="G23" s="9">
        <f>SUM(G20:G22)</f>
        <v>24123142.699999999</v>
      </c>
      <c r="H23" s="9"/>
      <c r="I23" s="17"/>
      <c r="L23" s="129"/>
      <c r="M23" s="1"/>
      <c r="N23" s="1"/>
      <c r="O23" s="1"/>
      <c r="P23" s="1"/>
      <c r="Q23" s="1"/>
      <c r="R23" s="1"/>
      <c r="S23" s="1"/>
      <c r="T23" s="1"/>
      <c r="U23" s="1"/>
    </row>
    <row r="24" spans="1:16384" s="5" customFormat="1" x14ac:dyDescent="0.25">
      <c r="A24" s="29"/>
      <c r="B24" s="31"/>
      <c r="C24" s="31"/>
      <c r="D24" s="31"/>
      <c r="E24" s="31"/>
      <c r="F24" s="31"/>
      <c r="G24" s="31"/>
      <c r="H24" s="31"/>
      <c r="K24" s="1"/>
      <c r="L24" s="129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16384" s="5" customFormat="1" x14ac:dyDescent="0.25">
      <c r="B25" s="28"/>
      <c r="C25" s="13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16384" s="5" customFormat="1" x14ac:dyDescent="0.25">
      <c r="A26" s="1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 s="1"/>
      <c r="XFA26" s="1"/>
      <c r="XFB26" s="1"/>
      <c r="XFC26" s="1"/>
      <c r="XFD26" s="1"/>
    </row>
    <row r="27" spans="1:16384" x14ac:dyDescent="0.25">
      <c r="B27" s="129"/>
      <c r="C27" s="129"/>
      <c r="D27" s="129"/>
      <c r="E27" s="129"/>
      <c r="F27" s="129"/>
      <c r="G27" s="129"/>
      <c r="H27" s="129"/>
      <c r="I27" s="129"/>
      <c r="J27" s="129"/>
      <c r="K27" s="129"/>
    </row>
    <row r="28" spans="1:16384" x14ac:dyDescent="0.25">
      <c r="B28" s="129"/>
      <c r="C28" s="129"/>
      <c r="D28" s="129"/>
      <c r="E28" s="129"/>
      <c r="F28" s="129"/>
      <c r="G28" s="129"/>
      <c r="H28" s="129"/>
      <c r="I28" s="129"/>
      <c r="J28" s="129"/>
      <c r="K28" s="129"/>
    </row>
    <row r="29" spans="1:16384" x14ac:dyDescent="0.25">
      <c r="B29" s="129"/>
      <c r="C29" s="129"/>
      <c r="D29" s="129"/>
      <c r="E29" s="129"/>
      <c r="F29" s="129"/>
      <c r="G29" s="129"/>
      <c r="H29" s="129"/>
    </row>
    <row r="30" spans="1:16384" x14ac:dyDescent="0.25">
      <c r="B30" s="129"/>
      <c r="C30" s="129"/>
      <c r="D30" s="129"/>
      <c r="E30" s="129"/>
      <c r="F30" s="129"/>
      <c r="G30" s="129"/>
      <c r="H30" s="129"/>
      <c r="J30" s="129"/>
    </row>
    <row r="31" spans="1:16384" x14ac:dyDescent="0.25">
      <c r="B31" s="129"/>
      <c r="C31" s="129"/>
      <c r="D31" s="129"/>
      <c r="E31" s="129"/>
      <c r="F31" s="129"/>
      <c r="G31" s="129"/>
      <c r="H31" s="129"/>
      <c r="I31" s="129"/>
      <c r="J31" s="129"/>
      <c r="K31" s="129"/>
    </row>
    <row r="32" spans="1:16384" x14ac:dyDescent="0.25">
      <c r="B32" s="129"/>
      <c r="C32" s="129"/>
      <c r="D32" s="129"/>
      <c r="E32" s="129"/>
      <c r="F32" s="129"/>
      <c r="G32" s="129"/>
      <c r="H32" s="129"/>
      <c r="I32" s="129"/>
      <c r="J32" s="129"/>
      <c r="K32" s="129"/>
    </row>
    <row r="33" spans="2:11" x14ac:dyDescent="0.25">
      <c r="B33" s="129"/>
      <c r="C33" s="129"/>
      <c r="D33" s="129"/>
      <c r="E33" s="129"/>
      <c r="F33" s="129"/>
      <c r="G33" s="129"/>
      <c r="H33" s="129"/>
      <c r="I33" s="129"/>
      <c r="J33" s="129"/>
      <c r="K33" s="129"/>
    </row>
    <row r="34" spans="2:11" x14ac:dyDescent="0.25">
      <c r="B34" s="129"/>
      <c r="C34" s="129"/>
      <c r="D34" s="129"/>
      <c r="E34" s="129"/>
      <c r="F34" s="129"/>
      <c r="G34" s="129"/>
      <c r="H34" s="129"/>
      <c r="I34" s="129"/>
      <c r="J34" s="129"/>
      <c r="K34" s="129"/>
    </row>
    <row r="35" spans="2:11" x14ac:dyDescent="0.25">
      <c r="E35" s="1"/>
      <c r="F35" s="1"/>
      <c r="G35" s="1"/>
      <c r="H35" s="1"/>
    </row>
    <row r="36" spans="2:11" x14ac:dyDescent="0.25">
      <c r="G36" s="1"/>
      <c r="H36" s="1"/>
    </row>
    <row r="37" spans="2:11" x14ac:dyDescent="0.25">
      <c r="H37" s="1"/>
    </row>
    <row r="38" spans="2:11" x14ac:dyDescent="0.25">
      <c r="H38" s="1"/>
    </row>
    <row r="39" spans="2:11" x14ac:dyDescent="0.25">
      <c r="H39" s="1"/>
    </row>
    <row r="40" spans="2:11" x14ac:dyDescent="0.25">
      <c r="H40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125589-3B97-4A8E-BFB5-F8CAEDF79A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d92ff4e-e524-4e6b-bcac-5c88d6f646ba"/>
    <ds:schemaRef ds:uri="http://purl.org/dc/elements/1.1/"/>
    <ds:schemaRef ds:uri="http://schemas.microsoft.com/office/2006/metadata/properties"/>
    <ds:schemaRef ds:uri="edc4a2e3-56ec-4fd2-a9db-893721e9ab6c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31FE70-6FE1-4FFF-A898-2B385D537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(2024)</vt:lpstr>
      <vt:lpstr>SPECIAL REVENUE</vt:lpstr>
      <vt:lpstr>DEBT SERVICE</vt:lpstr>
      <vt:lpstr>CAPITAL PROJECTS</vt:lpstr>
      <vt:lpstr>SCHOOL NUTRITION</vt:lpstr>
      <vt:lpstr>Budget vs Actual (2024)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FINANCE</cp:lastModifiedBy>
  <cp:lastPrinted>2024-11-01T20:36:49Z</cp:lastPrinted>
  <dcterms:created xsi:type="dcterms:W3CDTF">2020-01-29T12:55:36Z</dcterms:created>
  <dcterms:modified xsi:type="dcterms:W3CDTF">2024-11-01T20:37:23Z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