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FINANCE\BOARD FINANCIAL REPORTS\~WorkFolder\~FY2025\2024_11\2nd Round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4)" sheetId="10" state="hidden" r:id="rId2"/>
    <sheet name="Budget vs Actual (2024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5" i="10" l="1"/>
  <c r="T44" i="10"/>
  <c r="T43" i="10"/>
  <c r="T42" i="10"/>
  <c r="T41" i="10"/>
  <c r="I16" i="10"/>
  <c r="I14" i="10"/>
  <c r="I13" i="10"/>
  <c r="I11" i="10"/>
  <c r="I10" i="10"/>
  <c r="I9" i="10"/>
  <c r="J26" i="10"/>
  <c r="E25" i="10"/>
  <c r="T25" i="10" s="1"/>
  <c r="G29" i="1"/>
  <c r="H29" i="1" s="1"/>
  <c r="I29" i="1" s="1"/>
  <c r="I26" i="10" l="1"/>
  <c r="Q26" i="10"/>
  <c r="P26" i="10"/>
  <c r="O26" i="10"/>
  <c r="N26" i="10"/>
  <c r="M26" i="10"/>
  <c r="L26" i="10"/>
  <c r="K26" i="10"/>
  <c r="G43" i="10" l="1"/>
  <c r="G41" i="10"/>
  <c r="H20" i="10"/>
  <c r="H19" i="10"/>
  <c r="H17" i="10"/>
  <c r="H16" i="10"/>
  <c r="H15" i="10"/>
  <c r="H14" i="10"/>
  <c r="H13" i="10"/>
  <c r="H11" i="10"/>
  <c r="H10" i="10"/>
  <c r="H9" i="10"/>
  <c r="H26" i="10" s="1"/>
  <c r="I24" i="2" l="1"/>
  <c r="G24" i="2"/>
  <c r="H24" i="2" s="1"/>
  <c r="G15" i="5" l="1"/>
  <c r="G16" i="5"/>
  <c r="G17" i="5"/>
  <c r="G14" i="5"/>
  <c r="F43" i="10" l="1"/>
  <c r="F41" i="10"/>
  <c r="G20" i="10"/>
  <c r="G19" i="10"/>
  <c r="G17" i="10"/>
  <c r="G16" i="10"/>
  <c r="G14" i="10"/>
  <c r="G13" i="10"/>
  <c r="G11" i="10"/>
  <c r="G10" i="10"/>
  <c r="G9" i="10"/>
  <c r="G26" i="10" s="1"/>
  <c r="F22" i="4" l="1"/>
  <c r="F31" i="1"/>
  <c r="F18" i="5" l="1"/>
  <c r="F20" i="10" l="1"/>
  <c r="F19" i="10"/>
  <c r="F16" i="10"/>
  <c r="F15" i="10"/>
  <c r="F13" i="10"/>
  <c r="F10" i="10"/>
  <c r="F9" i="10"/>
  <c r="C6" i="10" l="1"/>
  <c r="F26" i="10"/>
  <c r="D45" i="10"/>
  <c r="G15" i="4" l="1"/>
  <c r="H15" i="4" s="1"/>
  <c r="I15" i="4" s="1"/>
  <c r="C13" i="1" l="1"/>
  <c r="E18" i="10"/>
  <c r="T18" i="10" s="1"/>
  <c r="G14" i="1"/>
  <c r="G15" i="1"/>
  <c r="G16" i="1"/>
  <c r="G17" i="1"/>
  <c r="G18" i="1"/>
  <c r="G19" i="1"/>
  <c r="G20" i="1"/>
  <c r="G21" i="1"/>
  <c r="G22" i="1"/>
  <c r="G23" i="1"/>
  <c r="H23" i="1" s="1"/>
  <c r="G24" i="1"/>
  <c r="G25" i="1"/>
  <c r="G26" i="1"/>
  <c r="G27" i="1"/>
  <c r="G28" i="1"/>
  <c r="G30" i="1"/>
  <c r="I23" i="1"/>
  <c r="S26" i="10" l="1"/>
  <c r="G8" i="1"/>
  <c r="G9" i="1"/>
  <c r="G10" i="1"/>
  <c r="G11" i="1"/>
  <c r="G12" i="1"/>
  <c r="G12" i="5" l="1"/>
  <c r="G11" i="5"/>
  <c r="G10" i="5"/>
  <c r="G9" i="5"/>
  <c r="G8" i="5"/>
  <c r="F48" i="10" l="1"/>
  <c r="G48" i="10"/>
  <c r="H48" i="10"/>
  <c r="I48" i="10"/>
  <c r="J48" i="10"/>
  <c r="K48" i="10"/>
  <c r="L48" i="10"/>
  <c r="M48" i="10"/>
  <c r="N48" i="10"/>
  <c r="O48" i="10"/>
  <c r="P48" i="10"/>
  <c r="F49" i="10"/>
  <c r="G49" i="10"/>
  <c r="H49" i="10"/>
  <c r="I49" i="10"/>
  <c r="J49" i="10"/>
  <c r="K49" i="10"/>
  <c r="L49" i="10"/>
  <c r="M49" i="10"/>
  <c r="N49" i="10"/>
  <c r="O49" i="10"/>
  <c r="P49" i="10"/>
  <c r="E48" i="10"/>
  <c r="I8" i="3" l="1"/>
  <c r="G30" i="2"/>
  <c r="H30" i="2" s="1"/>
  <c r="I30" i="2" s="1"/>
  <c r="B48" i="10"/>
  <c r="C44" i="10"/>
  <c r="D44" i="10" s="1"/>
  <c r="M46" i="10"/>
  <c r="H11" i="1"/>
  <c r="I11" i="1" s="1"/>
  <c r="C13" i="3" l="1"/>
  <c r="D13" i="3"/>
  <c r="E13" i="3"/>
  <c r="F13" i="3"/>
  <c r="B13" i="3"/>
  <c r="C10" i="3"/>
  <c r="D10" i="3"/>
  <c r="E10" i="3"/>
  <c r="F10" i="3"/>
  <c r="G10" i="3"/>
  <c r="H10" i="3"/>
  <c r="G14" i="4" l="1"/>
  <c r="H14" i="4" s="1"/>
  <c r="I14" i="4" s="1"/>
  <c r="G21" i="4" l="1"/>
  <c r="H21" i="4" s="1"/>
  <c r="G20" i="4"/>
  <c r="H20" i="4" s="1"/>
  <c r="G19" i="4"/>
  <c r="H19" i="4" s="1"/>
  <c r="G18" i="4"/>
  <c r="H18" i="4" s="1"/>
  <c r="I18" i="4" s="1"/>
  <c r="G17" i="4"/>
  <c r="H17" i="4" s="1"/>
  <c r="G16" i="4"/>
  <c r="H16" i="4" s="1"/>
  <c r="I19" i="4" l="1"/>
  <c r="I20" i="4"/>
  <c r="H30" i="1" l="1"/>
  <c r="I30" i="1" s="1"/>
  <c r="C41" i="10" l="1"/>
  <c r="C42" i="10"/>
  <c r="C43" i="10"/>
  <c r="C49" i="10" s="1"/>
  <c r="C45" i="10"/>
  <c r="G11" i="3"/>
  <c r="G13" i="3" s="1"/>
  <c r="G12" i="3"/>
  <c r="C48" i="10" l="1"/>
  <c r="C50" i="10" s="1"/>
  <c r="G8" i="4" l="1"/>
  <c r="G9" i="4"/>
  <c r="G10" i="4"/>
  <c r="G11" i="4"/>
  <c r="E37" i="1" l="1"/>
  <c r="G37" i="1" s="1"/>
  <c r="G36" i="1"/>
  <c r="H67" i="10" l="1"/>
  <c r="E21" i="10"/>
  <c r="T21" i="10" s="1"/>
  <c r="E22" i="10"/>
  <c r="T22" i="10" s="1"/>
  <c r="E23" i="10"/>
  <c r="T23" i="10" s="1"/>
  <c r="E24" i="10"/>
  <c r="T24" i="10" s="1"/>
  <c r="H28" i="1" l="1"/>
  <c r="I28" i="1" s="1"/>
  <c r="G13" i="4" l="1"/>
  <c r="C31" i="1" l="1"/>
  <c r="D31" i="1"/>
  <c r="E31" i="1"/>
  <c r="B31" i="1"/>
  <c r="G31" i="1" l="1"/>
  <c r="U26" i="10"/>
  <c r="C12" i="4" l="1"/>
  <c r="D12" i="4"/>
  <c r="E12" i="4"/>
  <c r="F12" i="4"/>
  <c r="B12" i="4"/>
  <c r="I16" i="4"/>
  <c r="E16" i="10"/>
  <c r="T16" i="10" s="1"/>
  <c r="E13" i="10"/>
  <c r="T13" i="10" s="1"/>
  <c r="I11" i="3"/>
  <c r="H11" i="3"/>
  <c r="H13" i="3" s="1"/>
  <c r="G9" i="3"/>
  <c r="H9" i="3" s="1"/>
  <c r="I9" i="3" s="1"/>
  <c r="G8" i="3"/>
  <c r="H8" i="3" s="1"/>
  <c r="H12" i="3"/>
  <c r="I12" i="3" s="1"/>
  <c r="B49" i="10"/>
  <c r="E20" i="10"/>
  <c r="T20" i="10" s="1"/>
  <c r="H14" i="1"/>
  <c r="I14" i="1" s="1"/>
  <c r="H15" i="1"/>
  <c r="I15" i="1" s="1"/>
  <c r="H16" i="1"/>
  <c r="I16" i="1" s="1"/>
  <c r="H17" i="1"/>
  <c r="I17" i="1" s="1"/>
  <c r="H18" i="1"/>
  <c r="H19" i="1"/>
  <c r="I19" i="1" s="1"/>
  <c r="H20" i="1"/>
  <c r="I20" i="1" s="1"/>
  <c r="H21" i="1"/>
  <c r="I21" i="1" s="1"/>
  <c r="H22" i="1"/>
  <c r="I22" i="1" s="1"/>
  <c r="H24" i="1"/>
  <c r="I24" i="1" s="1"/>
  <c r="H27" i="1"/>
  <c r="I27" i="1" s="1"/>
  <c r="H26" i="1"/>
  <c r="I26" i="1" s="1"/>
  <c r="H25" i="1"/>
  <c r="I25" i="1" s="1"/>
  <c r="B13" i="1"/>
  <c r="D13" i="1"/>
  <c r="E13" i="1"/>
  <c r="F13" i="1"/>
  <c r="B68" i="10"/>
  <c r="E49" i="10"/>
  <c r="E53" i="10"/>
  <c r="P46" i="10"/>
  <c r="O46" i="10"/>
  <c r="N46" i="10"/>
  <c r="L46" i="10"/>
  <c r="K46" i="10"/>
  <c r="J46" i="10"/>
  <c r="I46" i="10"/>
  <c r="H46" i="10"/>
  <c r="G46" i="10"/>
  <c r="F46" i="10"/>
  <c r="E46" i="10"/>
  <c r="B46" i="10"/>
  <c r="E15" i="10"/>
  <c r="T15" i="10" s="1"/>
  <c r="E14" i="10"/>
  <c r="T14" i="10" s="1"/>
  <c r="E12" i="10"/>
  <c r="T12" i="10" s="1"/>
  <c r="E10" i="10"/>
  <c r="T10" i="10" s="1"/>
  <c r="G22" i="5"/>
  <c r="G26" i="4"/>
  <c r="G17" i="3"/>
  <c r="G37" i="2"/>
  <c r="G35" i="1"/>
  <c r="C18" i="5"/>
  <c r="D18" i="5"/>
  <c r="E18" i="5"/>
  <c r="B18" i="5"/>
  <c r="B22" i="4"/>
  <c r="C22" i="4"/>
  <c r="D22" i="4"/>
  <c r="E22" i="4"/>
  <c r="I15" i="5"/>
  <c r="I10" i="4"/>
  <c r="H8" i="1"/>
  <c r="I8" i="1" s="1"/>
  <c r="H9" i="1"/>
  <c r="I9" i="1" s="1"/>
  <c r="H10" i="1"/>
  <c r="I10" i="1" s="1"/>
  <c r="G31" i="2"/>
  <c r="H31" i="2" s="1"/>
  <c r="I31" i="2" s="1"/>
  <c r="H17" i="5"/>
  <c r="H16" i="5"/>
  <c r="I16" i="5" s="1"/>
  <c r="H15" i="5"/>
  <c r="H14" i="5"/>
  <c r="I14" i="5" s="1"/>
  <c r="B10" i="3"/>
  <c r="B13" i="5"/>
  <c r="C13" i="5"/>
  <c r="D13" i="5"/>
  <c r="E13" i="5"/>
  <c r="F13" i="5"/>
  <c r="B13" i="2"/>
  <c r="C13" i="2"/>
  <c r="D13" i="2"/>
  <c r="E13" i="2"/>
  <c r="F13" i="2"/>
  <c r="I17" i="5"/>
  <c r="H12" i="5"/>
  <c r="I12" i="5" s="1"/>
  <c r="H11" i="5"/>
  <c r="I11" i="5" s="1"/>
  <c r="H10" i="5"/>
  <c r="I10" i="5" s="1"/>
  <c r="H9" i="5"/>
  <c r="I9" i="5" s="1"/>
  <c r="H8" i="5"/>
  <c r="I21" i="4"/>
  <c r="H13" i="4"/>
  <c r="I13" i="4" s="1"/>
  <c r="H11" i="4"/>
  <c r="I11" i="4"/>
  <c r="H10" i="4"/>
  <c r="H9" i="4"/>
  <c r="I9" i="4" s="1"/>
  <c r="H8" i="4"/>
  <c r="F33" i="2"/>
  <c r="E33" i="2"/>
  <c r="D33" i="2"/>
  <c r="C33" i="2"/>
  <c r="B33" i="2"/>
  <c r="G32" i="2"/>
  <c r="H32" i="2" s="1"/>
  <c r="I32" i="2" s="1"/>
  <c r="G29" i="2"/>
  <c r="H29" i="2" s="1"/>
  <c r="I29" i="2" s="1"/>
  <c r="G19" i="2"/>
  <c r="H19" i="2" s="1"/>
  <c r="I1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I14" i="2" s="1"/>
  <c r="G12" i="2"/>
  <c r="G11" i="2"/>
  <c r="G10" i="2"/>
  <c r="G9" i="2"/>
  <c r="G8" i="2"/>
  <c r="N50" i="10" l="1"/>
  <c r="H10" i="2"/>
  <c r="I10" i="2" s="1"/>
  <c r="H9" i="2"/>
  <c r="I9" i="2" s="1"/>
  <c r="H11" i="2"/>
  <c r="I11" i="2" s="1"/>
  <c r="H12" i="2"/>
  <c r="I12" i="2" s="1"/>
  <c r="E50" i="10"/>
  <c r="E11" i="10"/>
  <c r="T11" i="10" s="1"/>
  <c r="O50" i="10"/>
  <c r="G50" i="10"/>
  <c r="B50" i="10"/>
  <c r="I50" i="10"/>
  <c r="E19" i="10"/>
  <c r="T19" i="10" s="1"/>
  <c r="H50" i="10"/>
  <c r="L50" i="10"/>
  <c r="J50" i="10"/>
  <c r="M50" i="10"/>
  <c r="F50" i="10"/>
  <c r="E54" i="10"/>
  <c r="F54" i="10" s="1"/>
  <c r="G54" i="10" s="1"/>
  <c r="H54" i="10" s="1"/>
  <c r="I54" i="10" s="1"/>
  <c r="J54" i="10" s="1"/>
  <c r="K54" i="10" s="1"/>
  <c r="L54" i="10" s="1"/>
  <c r="M54" i="10" s="1"/>
  <c r="N54" i="10" s="1"/>
  <c r="O54" i="10" s="1"/>
  <c r="P54" i="10" s="1"/>
  <c r="B20" i="5"/>
  <c r="K50" i="10"/>
  <c r="E9" i="10"/>
  <c r="T9" i="10" s="1"/>
  <c r="P50" i="10"/>
  <c r="E17" i="10"/>
  <c r="T17" i="10" s="1"/>
  <c r="E33" i="1"/>
  <c r="E38" i="1" s="1"/>
  <c r="E20" i="5"/>
  <c r="E23" i="5" s="1"/>
  <c r="D41" i="10"/>
  <c r="D42" i="10"/>
  <c r="D43" i="10"/>
  <c r="D49" i="10"/>
  <c r="B58" i="10" s="1"/>
  <c r="D20" i="5"/>
  <c r="C20" i="5"/>
  <c r="C24" i="4"/>
  <c r="D35" i="2"/>
  <c r="C35" i="2"/>
  <c r="B33" i="1"/>
  <c r="E15" i="3"/>
  <c r="E18" i="3" s="1"/>
  <c r="D15" i="3"/>
  <c r="B35" i="2"/>
  <c r="D33" i="1"/>
  <c r="C33" i="1"/>
  <c r="G13" i="1"/>
  <c r="G13" i="5"/>
  <c r="B24" i="4"/>
  <c r="H18" i="5"/>
  <c r="I18" i="5" s="1"/>
  <c r="G18" i="5"/>
  <c r="G12" i="4"/>
  <c r="E24" i="4"/>
  <c r="E27" i="4" s="1"/>
  <c r="D24" i="4"/>
  <c r="B15" i="3"/>
  <c r="C15" i="3"/>
  <c r="I13" i="3"/>
  <c r="G33" i="2"/>
  <c r="G13" i="2"/>
  <c r="E35" i="2"/>
  <c r="E38" i="2" s="1"/>
  <c r="H12" i="1"/>
  <c r="H33" i="2"/>
  <c r="I33" i="2" s="1"/>
  <c r="I8" i="5"/>
  <c r="H13" i="5"/>
  <c r="H12" i="4"/>
  <c r="I8" i="4"/>
  <c r="I18" i="1"/>
  <c r="H31" i="1"/>
  <c r="I31" i="1" s="1"/>
  <c r="I17" i="4"/>
  <c r="H22" i="4"/>
  <c r="I22" i="4" s="1"/>
  <c r="F53" i="10"/>
  <c r="G22" i="4"/>
  <c r="C46" i="10"/>
  <c r="D46" i="10" s="1"/>
  <c r="H8" i="2"/>
  <c r="I8" i="2" s="1"/>
  <c r="E55" i="10" l="1"/>
  <c r="D50" i="10"/>
  <c r="B59" i="10" s="1"/>
  <c r="E26" i="10"/>
  <c r="T26" i="10"/>
  <c r="G33" i="1"/>
  <c r="G38" i="1" s="1"/>
  <c r="G35" i="2"/>
  <c r="G38" i="2" s="1"/>
  <c r="G20" i="5"/>
  <c r="G23" i="5" s="1"/>
  <c r="G15" i="3"/>
  <c r="G18" i="3" s="1"/>
  <c r="H13" i="1"/>
  <c r="I13" i="1" s="1"/>
  <c r="I12" i="1"/>
  <c r="G24" i="4"/>
  <c r="G27" i="4" s="1"/>
  <c r="H13" i="2"/>
  <c r="H20" i="5"/>
  <c r="I13" i="5"/>
  <c r="G53" i="10"/>
  <c r="F55" i="10"/>
  <c r="D48" i="10"/>
  <c r="B57" i="10" s="1"/>
  <c r="I12" i="4"/>
  <c r="H24" i="4"/>
  <c r="I10" i="3"/>
  <c r="H15" i="3"/>
  <c r="B16" i="10" l="1"/>
  <c r="C16" i="10" s="1"/>
  <c r="B30" i="10"/>
  <c r="B15" i="10"/>
  <c r="C15" i="10" s="1"/>
  <c r="I13" i="2"/>
  <c r="H35" i="2"/>
  <c r="G55" i="10"/>
  <c r="H53" i="10"/>
  <c r="H55" i="10" l="1"/>
  <c r="I53" i="10"/>
  <c r="I55" i="10" l="1"/>
  <c r="J53" i="10"/>
  <c r="K53" i="10" l="1"/>
  <c r="J55" i="10"/>
  <c r="K55" i="10" l="1"/>
  <c r="L53" i="10"/>
  <c r="M53" i="10" l="1"/>
  <c r="L55" i="10"/>
  <c r="M55" i="10" l="1"/>
  <c r="N53" i="10"/>
  <c r="O53" i="10" l="1"/>
  <c r="N55" i="10"/>
  <c r="O55" i="10" l="1"/>
  <c r="P53" i="10"/>
  <c r="P55" i="10" s="1"/>
</calcChain>
</file>

<file path=xl/sharedStrings.xml><?xml version="1.0" encoding="utf-8"?>
<sst xmlns="http://schemas.openxmlformats.org/spreadsheetml/2006/main" count="281" uniqueCount="85">
  <si>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</si>
  <si>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</si>
  <si>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</si>
  <si>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</si>
  <si>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</si>
  <si>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</si>
  <si>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</si>
  <si>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</si>
  <si>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</si>
  <si>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</si>
  <si>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</si>
  <si>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</si>
  <si>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</si>
  <si>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</si>
  <si>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</si>
  <si>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</si>
  <si>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</si>
  <si>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</si>
  <si>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</si>
  <si>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</si>
  <si>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</si>
  <si>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</si>
  <si>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</si>
  <si>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</si>
  <si>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</si>
  <si>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</si>
  <si>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</si>
  <si>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</si>
  <si>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</si>
  <si>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SCHOOL NUTRITION PROGRAM</t>
  </si>
  <si>
    <t xml:space="preserve">   ENTERPRISE OPERATIONS</t>
  </si>
  <si>
    <t>% of REMAINING BUDGET</t>
  </si>
  <si>
    <t>Description</t>
  </si>
  <si>
    <t>AMENDED BUDGET</t>
  </si>
  <si>
    <t>ORIGINAL BUDGET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</si>
  <si>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</si>
  <si>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</si>
  <si>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</si>
  <si>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</si>
  <si>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</si>
  <si>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</si>
  <si>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</si>
  <si>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</si>
  <si>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</si>
  <si>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</si>
  <si>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</si>
  <si>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</si>
  <si>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</si>
  <si>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</si>
  <si>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</si>
  <si>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</si>
  <si>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</si>
  <si>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</si>
  <si>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</si>
  <si>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</si>
  <si>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</si>
  <si>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</si>
  <si>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</si>
  <si>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</si>
  <si>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</si>
  <si>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</si>
  <si>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</si>
  <si>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</si>
  <si>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</si>
  <si>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</si>
  <si>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</si>
  <si>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</si>
  <si>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BEGINNING BALANCE (Estimated)</t>
  </si>
  <si>
    <t>ASSIGNED BALANCE (Gold Case)</t>
  </si>
  <si>
    <t>UNASSIGNED STARTING BALANCE (Estimated)</t>
  </si>
  <si>
    <t xml:space="preserve">   MAINTENANCE AND OPERATION OF PLANT SERVICES</t>
  </si>
  <si>
    <t xml:space="preserve">   FEDERAL GRANT ADMINISTRATION</t>
  </si>
  <si>
    <t xml:space="preserve">   COMMUNITY SERVICES OPERATIONS</t>
  </si>
  <si>
    <t xml:space="preserve">   FACILITIES ACQUISITION AND CONSTRUCTION SERVICES</t>
  </si>
  <si>
    <t xml:space="preserve">   FEDERAL SOURCES</t>
  </si>
  <si>
    <t>FY2024 BUDGET CHARTS</t>
  </si>
  <si>
    <t xml:space="preserve">   SCHOOL SAFETY AND SECURITY</t>
  </si>
  <si>
    <t>FY2025 GENERAL FUND (ROLLUP)</t>
  </si>
  <si>
    <t>FY2025 SPECIAL REVENUE (ROLLUP)</t>
  </si>
  <si>
    <t>FY2025 DEBT SERVICE (ROLLUP)</t>
  </si>
  <si>
    <t>FY2025 CAPITAL PROJECTS (ROLLUP)</t>
  </si>
  <si>
    <t>FY2025 SCHOOL NUTRITION (ROLLUP)</t>
  </si>
  <si>
    <t>TOTAL GENERAL OPERATIONS BUDGET
$1,656,267,782</t>
  </si>
  <si>
    <t>GENERAL OPERATIONS YTD EXPENSES
$581,917,639</t>
  </si>
  <si>
    <t>(LOCAL &amp; OTHER)  Budgeted: $992,348,398  Actual: $831,146,731  83.76%
(STATE)  Budgeted: $560,327,715  Actual: $168,472,062   30.07%
TOTAL Budgeted: $1,552,676,113  Actual: $999,618,793   64.38%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</si>
</sst>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6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  <font>
      <sz val="11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5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40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38" fontId="0" fillId="0" borderId="0" xfId="0" applyNumberFormat="1"/>
    <xf numFmtId="40" fontId="11" fillId="0" borderId="0" xfId="2" applyNumberFormat="1" applyFont="1" applyAlignment="1">
      <alignment vertical="top"/>
    </xf>
    <xf numFmtId="40" fontId="3" fillId="0" borderId="0" xfId="0" applyNumberFormat="1" applyFont="1" applyFill="1"/>
    <xf numFmtId="38" fontId="15" fillId="0" borderId="33" xfId="2" applyNumberFormat="1" applyFont="1" applyFill="1" applyBorder="1" applyAlignment="1">
      <alignment horizontal="center" vertical="center" wrapText="1"/>
    </xf>
    <xf numFmtId="38" fontId="15" fillId="0" borderId="22" xfId="2" applyNumberFormat="1" applyFont="1" applyFill="1" applyBorder="1" applyAlignment="1">
      <alignment horizontal="center" vertical="center" wrapText="1"/>
    </xf>
    <xf numFmtId="38" fontId="15" fillId="0" borderId="39" xfId="2" applyNumberFormat="1" applyFont="1" applyFill="1" applyBorder="1" applyAlignment="1">
      <alignment horizontal="center" vertical="center" wrapText="1"/>
    </xf>
    <xf numFmtId="38" fontId="6" fillId="0" borderId="0" xfId="2" applyNumberFormat="1" applyAlignment="1">
      <alignment horizontal="center" vertical="top"/>
    </xf>
    <xf numFmtId="38" fontId="3" fillId="17" borderId="10" xfId="0" applyNumberFormat="1" applyFont="1" applyFill="1" applyBorder="1" applyAlignment="1">
      <alignment vertical="center"/>
    </xf>
    <xf numFmtId="38" fontId="0" fillId="0" borderId="36" xfId="0" applyNumberFormat="1" applyBorder="1"/>
    <xf numFmtId="38" fontId="0" fillId="0" borderId="5" xfId="0" applyNumberFormat="1" applyBorder="1"/>
    <xf numFmtId="38" fontId="0" fillId="0" borderId="8" xfId="0" applyNumberFormat="1" applyBorder="1"/>
    <xf numFmtId="0" fontId="3" fillId="0" borderId="22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FY2025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2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6.2970012399402933E-3"/>
                  <c:y val="-6.4307374391939481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6520980263625521"/>
                      <c:h val="8.078455846916095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3.4403472885849148E-2"/>
                  <c:y val="7.8113287358233486E-3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5704652013784135"/>
                      <c:h val="9.5730834174129822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(2024)'!$B$15:$B$16</c:f>
              <c:numCache>
                <c:formatCode>"$"#,##0_);\("$"#,##0\)</c:formatCode>
                <c:ptCount val="2"/>
                <c:pt idx="0">
                  <c:v>1074350142.6099906</c:v>
                </c:pt>
                <c:pt idx="1">
                  <c:v>581917639.32999933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ser>
          <c:idx val="1"/>
          <c:order val="1"/>
          <c:cat>
            <c:strRef>
              <c:f>'DATA for CHARTS (2024)'!$B$28</c:f>
              <c:strCache>
                <c:ptCount val="1"/>
                <c:pt idx="0">
                  <c:v>TOTAL GENERAL OPERATIONS BUDGET
$1,656,267,782</c:v>
                </c:pt>
              </c:strCache>
            </c:strRef>
          </c:cat>
          <c:val>
            <c:numRef>
              <c:f>'DATA for CHARTS (2024)'!$C$28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cat>
            <c:strRef>
              <c:f>'DATA for CHARTS (2024)'!$B$28</c:f>
              <c:strCache>
                <c:ptCount val="1"/>
                <c:pt idx="0">
                  <c:v>TOTAL GENERAL OPERATIONS BUDGET
$1,656,267,782</c:v>
                </c:pt>
              </c:strCache>
            </c:strRef>
          </c:cat>
          <c:val>
            <c:numRef>
              <c:f>'DATA for CHARTS (2024)'!$D$28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cat>
            <c:strRef>
              <c:f>'DATA for CHARTS (2024)'!$B$28</c:f>
              <c:strCache>
                <c:ptCount val="1"/>
                <c:pt idx="0">
                  <c:v>TOTAL GENERAL OPERATIONS BUDGET
$1,656,267,782</c:v>
                </c:pt>
              </c:strCache>
            </c:strRef>
          </c:cat>
          <c:val>
            <c:numRef>
              <c:f>'DATA for CHARTS (2024)'!$E$28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cat>
            <c:strRef>
              <c:f>'DATA for CHARTS (2024)'!$B$28</c:f>
              <c:strCache>
                <c:ptCount val="1"/>
                <c:pt idx="0">
                  <c:v>TOTAL GENERAL OPERATIONS BUDGET
$1,656,267,782</c:v>
                </c:pt>
              </c:strCache>
            </c:strRef>
          </c:cat>
          <c:val>
            <c:numRef>
              <c:f>'DATA for CHARTS (2024)'!$F$28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19587371036997"/>
          <c:y val="0.9261519258573524"/>
          <c:w val="0.33272226127200499"/>
          <c:h val="3.39785806040817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FY2025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3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061212508917829"/>
          <c:y val="0.25536608452345044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1.9846679145046689E-2"/>
                  <c:y val="-0.1037852831143795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17815146226079814"/>
                  <c:y val="-3.940384928766334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5.8336505823165755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27883650952858574"/>
                  <c:y val="2.435445899513538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257912846149998"/>
                      <c:h val="8.3252928918891744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2245871472685774"/>
                  <c:y val="8.049109449165604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883340309642849E-2"/>
                  <c:y val="7.987143614974151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1434302908726181"/>
                  <c:y val="8.80280982050295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205564199159159"/>
                      <c:h val="5.4246733028912995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5.1778169153128627E-2"/>
                  <c:y val="5.223076309648863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165643913367397"/>
                      <c:h val="5.925006200741127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0.13749726870901419"/>
                  <c:y val="7.241820003675233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1.6488836588505675E-2"/>
                  <c:y val="5.927882198344757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005386237452515"/>
                      <c:h val="6.8548878498791321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4.9028871391076118E-2"/>
                  <c:y val="0.1470338433587478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83550651955867"/>
                      <c:h val="5.044473800088066E-2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-6.4022303129862027E-2"/>
                  <c:y val="6.216041356785487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7.093058703670066E-2"/>
                  <c:y val="4.164567275854058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0.12684252231760901"/>
                  <c:y val="-5.896406938564647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0.10085648020176013"/>
                  <c:y val="-0.1467034883519348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4"/>
              <c:layout>
                <c:manualLayout>
                  <c:x val="-0.12537928746870533"/>
                  <c:y val="-6.0689903854488467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5.0719823512532347E-2"/>
                  <c:y val="-7.019780387425152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286251054.33999908</c:v>
                </c:pt>
                <c:pt idx="1">
                  <c:v>29865009.200000085</c:v>
                </c:pt>
                <c:pt idx="2">
                  <c:v>6941140.2600000035</c:v>
                </c:pt>
                <c:pt idx="3">
                  <c:v>117309.82999999999</c:v>
                </c:pt>
                <c:pt idx="4">
                  <c:v>7305392.1700000037</c:v>
                </c:pt>
                <c:pt idx="5">
                  <c:v>33350666.770000003</c:v>
                </c:pt>
                <c:pt idx="6">
                  <c:v>34772602.409999982</c:v>
                </c:pt>
                <c:pt idx="7">
                  <c:v>7776555.6500000004</c:v>
                </c:pt>
                <c:pt idx="8">
                  <c:v>81340203.929999992</c:v>
                </c:pt>
                <c:pt idx="9">
                  <c:v>426968.69999999995</c:v>
                </c:pt>
                <c:pt idx="10">
                  <c:v>26398406.300000004</c:v>
                </c:pt>
                <c:pt idx="11">
                  <c:v>23738136.519999996</c:v>
                </c:pt>
                <c:pt idx="12">
                  <c:v>804317.31</c:v>
                </c:pt>
                <c:pt idx="13">
                  <c:v>0</c:v>
                </c:pt>
                <c:pt idx="14">
                  <c:v>329875.94</c:v>
                </c:pt>
                <c:pt idx="15">
                  <c:v>42500000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(2024)'!$H$30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30"/>
          <c:order val="3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(2024)'!$B$28</c:f>
              <c:strCache>
                <c:ptCount val="1"/>
                <c:pt idx="0">
                  <c:v>TOTAL GENERAL OPERATIONS BUDGET
$1,656,267,782</c:v>
                </c:pt>
              </c:strCache>
            </c:strRef>
          </c:cat>
          <c:val>
            <c:numRef>
              <c:f>'DATA for CHARTS (2024)'!$C$28</c:f>
              <c:numCache>
                <c:formatCode>General</c:formatCode>
                <c:ptCount val="1"/>
              </c:numCache>
            </c:numRef>
          </c:val>
        </c:ser>
        <c:ser>
          <c:idx val="31"/>
          <c:order val="3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(2024)'!$B$28</c:f>
              <c:strCache>
                <c:ptCount val="1"/>
                <c:pt idx="0">
                  <c:v>TOTAL GENERAL OPERATIONS BUDGET
$1,656,267,782</c:v>
                </c:pt>
              </c:strCache>
            </c:strRef>
          </c:cat>
          <c:val>
            <c:numRef>
              <c:f>'DATA for CHARTS (2024)'!$D$28</c:f>
              <c:numCache>
                <c:formatCode>General</c:formatCode>
                <c:ptCount val="1"/>
              </c:numCache>
            </c:numRef>
          </c:val>
        </c:ser>
        <c:ser>
          <c:idx val="32"/>
          <c:order val="3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(2024)'!$B$28</c:f>
              <c:strCache>
                <c:ptCount val="1"/>
                <c:pt idx="0">
                  <c:v>TOTAL GENERAL OPERATIONS BUDGET
$1,656,267,782</c:v>
                </c:pt>
              </c:strCache>
            </c:strRef>
          </c:cat>
          <c:val>
            <c:numRef>
              <c:f>'DATA for CHARTS (2024)'!$E$28</c:f>
              <c:numCache>
                <c:formatCode>General</c:formatCode>
                <c:ptCount val="1"/>
              </c:numCache>
            </c:numRef>
          </c:val>
        </c:ser>
        <c:ser>
          <c:idx val="33"/>
          <c:order val="3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(2024)'!$B$28</c:f>
              <c:strCache>
                <c:ptCount val="1"/>
                <c:pt idx="0">
                  <c:v>TOTAL GENERAL OPERATIONS BUDGET
$1,656,267,782</c:v>
                </c:pt>
              </c:strCache>
            </c:strRef>
          </c:cat>
          <c:val>
            <c:numRef>
              <c:f>'DATA for CHARTS (2024)'!$F$28</c:f>
              <c:numCache>
                <c:formatCode>General</c:formatCode>
                <c:ptCount val="1"/>
              </c:numCache>
            </c:numRef>
          </c:val>
        </c:ser>
        <c:ser>
          <c:idx val="34"/>
          <c:order val="3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(2024)'!$I$30</c:f>
              <c:numCache>
                <c:formatCode>#,##0_);[Red]\(#,##0\)</c:formatCode>
                <c:ptCount val="1"/>
              </c:numCache>
            </c:numRef>
          </c:val>
        </c:ser>
        <c:ser>
          <c:idx val="35"/>
          <c:order val="3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(2024)'!$J$30</c:f>
              <c:numCache>
                <c:formatCode>#,##0_);[Red]\(#,##0\)</c:formatCode>
                <c:ptCount val="1"/>
              </c:numCache>
            </c:numRef>
          </c:val>
        </c:ser>
        <c:ser>
          <c:idx val="36"/>
          <c:order val="3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(2024)'!$K$30</c:f>
              <c:numCache>
                <c:formatCode>#,##0_);[Red]\(#,##0\)</c:formatCode>
                <c:ptCount val="1"/>
              </c:numCache>
            </c:numRef>
          </c:val>
        </c:ser>
        <c:ser>
          <c:idx val="37"/>
          <c:order val="3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(2024)'!$L$30</c:f>
              <c:numCache>
                <c:formatCode>#,##0_);[Red]\(#,##0\)</c:formatCode>
                <c:ptCount val="1"/>
              </c:numCache>
            </c:numRef>
          </c:val>
        </c:ser>
        <c:ser>
          <c:idx val="38"/>
          <c:order val="3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(2024)'!$I$30</c:f>
              <c:numCache>
                <c:formatCode>#,##0_);[Red]\(#,##0\)</c:formatCode>
                <c:ptCount val="1"/>
              </c:numCache>
            </c:numRef>
          </c:val>
        </c:ser>
        <c:ser>
          <c:idx val="39"/>
          <c:order val="3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(2024)'!$J$30</c:f>
              <c:numCache>
                <c:formatCode>#,##0_);[Red]\(#,##0\)</c:formatCode>
                <c:ptCount val="1"/>
              </c:numCache>
            </c:numRef>
          </c:val>
        </c:ser>
        <c:ser>
          <c:idx val="40"/>
          <c:order val="4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(2024)'!$K$30</c:f>
              <c:numCache>
                <c:formatCode>#,##0_);[Red]\(#,##0\)</c:formatCode>
                <c:ptCount val="1"/>
              </c:numCache>
            </c:numRef>
          </c:val>
        </c:ser>
        <c:ser>
          <c:idx val="41"/>
          <c:order val="4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$581,917,639</c:v>
                </c:pt>
              </c:strCache>
            </c:strRef>
          </c:cat>
          <c:val>
            <c:numRef>
              <c:f>'DATA for CHARTS (2024)'!$L$30</c:f>
              <c:numCache>
                <c:formatCode>#,##0_);[Red]\(#,##0\)</c:formatCode>
                <c:ptCount val="1"/>
              </c:numCache>
            </c:numRef>
          </c:val>
        </c:ser>
        <c:ser>
          <c:idx val="42"/>
          <c:order val="4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(2024)'!$H$30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3"/>
          <c:order val="4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(2024)'!$H$30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4"/>
          <c:order val="4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(2024)'!$H$30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5"/>
          <c:order val="4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(2024)'!$H$30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FY2025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286251054.33999908</c:v>
                </c:pt>
                <c:pt idx="1">
                  <c:v>29865009.200000085</c:v>
                </c:pt>
                <c:pt idx="2">
                  <c:v>6941140.2600000035</c:v>
                </c:pt>
                <c:pt idx="3">
                  <c:v>117309.82999999999</c:v>
                </c:pt>
                <c:pt idx="4">
                  <c:v>7305392.1700000037</c:v>
                </c:pt>
                <c:pt idx="5">
                  <c:v>33350666.770000003</c:v>
                </c:pt>
                <c:pt idx="6">
                  <c:v>34772602.409999982</c:v>
                </c:pt>
                <c:pt idx="7">
                  <c:v>7776555.6500000004</c:v>
                </c:pt>
                <c:pt idx="8">
                  <c:v>81340203.929999992</c:v>
                </c:pt>
                <c:pt idx="9">
                  <c:v>426968.69999999995</c:v>
                </c:pt>
                <c:pt idx="10">
                  <c:v>26398406.300000004</c:v>
                </c:pt>
                <c:pt idx="11">
                  <c:v>23738136.519999996</c:v>
                </c:pt>
                <c:pt idx="12">
                  <c:v>804317.31</c:v>
                </c:pt>
                <c:pt idx="13">
                  <c:v>0</c:v>
                </c:pt>
                <c:pt idx="14">
                  <c:v>329875.94</c:v>
                </c:pt>
                <c:pt idx="15">
                  <c:v>42500000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96945800"/>
        <c:axId val="696945016"/>
      </c:barChart>
      <c:valAx>
        <c:axId val="696945016"/>
        <c:scaling>
          <c:orientation val="minMax"/>
          <c:max val="30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945800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6969458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9450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FY2025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(2024)'!$B$70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(2024)'!$A$71:$A$75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(2024)'!$B$71:$B$75</c:f>
              <c:numCache>
                <c:formatCode>#,##0_);[Red]\(#,##0\)</c:formatCode>
                <c:ptCount val="5"/>
                <c:pt idx="0">
                  <c:v>970273398</c:v>
                </c:pt>
                <c:pt idx="1">
                  <c:v>15000000</c:v>
                </c:pt>
                <c:pt idx="2">
                  <c:v>560327715</c:v>
                </c:pt>
                <c:pt idx="3">
                  <c:v>7075000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(2024)'!$C$70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(2024)'!$A$71:$A$75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(2024)'!$C$71:$C$75</c:f>
              <c:numCache>
                <c:formatCode>#,##0_);[Red]\(#,##0\)</c:formatCode>
                <c:ptCount val="5"/>
                <c:pt idx="0">
                  <c:v>824487322.13</c:v>
                </c:pt>
                <c:pt idx="1">
                  <c:v>6549863.8400000008</c:v>
                </c:pt>
                <c:pt idx="2">
                  <c:v>168472062.39999998</c:v>
                </c:pt>
                <c:pt idx="3">
                  <c:v>0</c:v>
                </c:pt>
                <c:pt idx="4">
                  <c:v>109545.11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(2024)'!$R$57</c:f>
              <c:strCache>
                <c:ptCount val="1"/>
                <c:pt idx="0">
                  <c:v>(LOCAL &amp; OTHER)  Budgeted: $992,348,398  Actual: $831,146,731  83.76%
(STATE)  Budgeted: $560,327,715  Actual: $168,472,062   30.07%
TOTAL Budgeted: $1,552,676,113  Actual: $999,618,793   64.38%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(2024)'!$R$57</c:f>
              <c:strCache>
                <c:ptCount val="1"/>
                <c:pt idx="0">
                  <c:v>(LOCAL &amp; OTHER)  Budgeted: $992,348,398  Actual: $831,146,731  83.76%
(STATE)  Budgeted: $560,327,715  Actual: $168,472,062   30.07%
TOTAL Budgeted: $1,552,676,113  Actual: $999,618,793   64.38%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(2024)'!$A$71:$A$75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(2024)'!$R$57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(2024)'!$A$71:$A$75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(2024)'!$R$57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6957560"/>
        <c:axId val="95541553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(2024)'!$A$71:$A$75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(2024)'!$A$71:$A$75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(2024)'!$A$71:$A$75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$992,348,398  Actual: $831,146,731  83.76%
(STATE)  Budgeted: $560,327,715  Actual: $168,472,062   30.07%
TOTAL Budgeted: $1,552,676,113  Actual: $999,618,793   64.38%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(2024)'!$U$58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$992,348,398  Actual: $831,146,731  83.76%
(STATE)  Budgeted: $560,327,715  Actual: $168,472,062   30.07%
TOTAL Budgeted: $1,552,676,113  Actual: $999,618,793   64.38%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(2024)'!$T$58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$992,348,398  Actual: $831,146,731  83.76%
(STATE)  Budgeted: $560,327,715  Actual: $168,472,062   30.07%
TOTAL Budgeted: $1,552,676,113  Actual: $999,618,793   64.38%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(2024)'!$U$58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$992,348,398  Actual: $831,146,731  83.76%
(STATE)  Budgeted: $560,327,715  Actual: $168,472,062   30.07%
TOTAL Budgeted: $1,552,676,113  Actual: $999,618,793   64.38%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(2024)'!$T$58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696957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5415536"/>
        <c:crosses val="autoZero"/>
        <c:auto val="1"/>
        <c:lblAlgn val="ctr"/>
        <c:lblOffset val="500"/>
        <c:noMultiLvlLbl val="0"/>
      </c:catAx>
      <c:valAx>
        <c:axId val="95541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957560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4797779164265"/>
          <c:h val="0.178336783199325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6"/>
  <sheetViews>
    <sheetView workbookViewId="0"/>
  </sheetViews>
  <pageMargins left="0.25" right="0.25" top="0.25" bottom="0.2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4)'!$B$28:$F$28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52" y="974828"/>
          <a:ext cx="5716847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$1,656,267,782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$581,917,639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TOTAL GENERAL OPERATIONS BUDGET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$1,656,267,782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$992,348,398  Actual: $831,146,731  83.76%</a:t>
          </a:r>
        </a:p>
        <a:p xmlns:a="http://schemas.openxmlformats.org/drawingml/2006/main">
          <a:pPr algn="ctr"/>
          <a:r>
            <a:rPr lang="en-US" sz="1100"/>
            <a:t>(STATE)  Budgeted: $560,327,715  Actual: $168,472,062   30.07%</a:t>
          </a:r>
        </a:p>
        <a:p xmlns:a="http://schemas.openxmlformats.org/drawingml/2006/main">
          <a:pPr algn="ctr"/>
          <a:r>
            <a:rPr lang="en-US" sz="1100"/>
            <a:t>TOTAL Budgeted: $1,552,676,113  Actual: $999,618,793   64.38%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80"/>
  <sheetViews>
    <sheetView tabSelected="1" workbookViewId="0">
      <selection activeCell="A8" sqref="A8"/>
    </sheetView>
  </sheetViews>
  <sheetFormatPr defaultRowHeight="15" x14ac:dyDescent="0.25"/>
  <cols>
    <col min="1" max="1" width="49.7109375" style="1" bestFit="1" customWidth="1"/>
    <col min="2" max="2" width="19.140625" style="28" bestFit="1" customWidth="1"/>
    <col min="3" max="3" width="21" style="28" bestFit="1" customWidth="1"/>
    <col min="4" max="4" width="14.42578125" style="28" bestFit="1" customWidth="1"/>
    <col min="5" max="5" width="16.140625" style="28" bestFit="1" customWidth="1"/>
    <col min="6" max="6" width="16.28515625" style="28" customWidth="1"/>
    <col min="7" max="7" width="16.140625" style="28" bestFit="1" customWidth="1"/>
    <col min="8" max="8" width="14.7109375" style="28" bestFit="1" customWidth="1"/>
    <col min="9" max="9" width="12.42578125" style="1" customWidth="1"/>
    <col min="10" max="10" width="3.5703125" style="1" customWidth="1"/>
    <col min="11" max="11" width="49.7109375" style="1" bestFit="1" customWidth="1"/>
    <col min="12" max="15" width="14.5703125" style="129" bestFit="1" customWidth="1"/>
    <col min="16" max="16" width="13.5703125" style="129" bestFit="1" customWidth="1"/>
    <col min="17" max="16384" width="9.140625" style="1"/>
  </cols>
  <sheetData>
    <row r="1" spans="1:22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K1" s="130"/>
      <c r="L1" s="130"/>
      <c r="M1" s="130"/>
      <c r="N1" s="130"/>
      <c r="O1" s="130"/>
    </row>
    <row r="2" spans="1:22" ht="18.75" x14ac:dyDescent="0.3">
      <c r="A2" s="151" t="s">
        <v>77</v>
      </c>
      <c r="B2" s="151"/>
      <c r="C2" s="151"/>
      <c r="D2" s="151"/>
      <c r="E2" s="151"/>
      <c r="F2" s="151"/>
      <c r="G2" s="151"/>
      <c r="H2" s="151"/>
      <c r="I2" s="151"/>
      <c r="K2" s="130"/>
      <c r="L2" s="130"/>
      <c r="M2" s="130"/>
      <c r="N2" s="130"/>
      <c r="O2" s="130"/>
    </row>
    <row r="3" spans="1:22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K3" s="130"/>
      <c r="L3" s="130"/>
      <c r="M3" s="130"/>
      <c r="N3" s="130"/>
      <c r="O3" s="130"/>
    </row>
    <row r="4" spans="1:22" x14ac:dyDescent="0.25">
      <c r="A4" s="152">
        <v>45626</v>
      </c>
      <c r="B4" s="152"/>
      <c r="C4" s="152"/>
      <c r="D4" s="152"/>
      <c r="E4" s="152"/>
      <c r="F4" s="152"/>
      <c r="G4" s="152"/>
      <c r="H4" s="152"/>
      <c r="I4" s="152"/>
      <c r="K4" s="130"/>
      <c r="L4" s="130"/>
      <c r="M4" s="130"/>
      <c r="N4" s="130"/>
      <c r="O4" s="130"/>
    </row>
    <row r="5" spans="1:22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K5" s="130"/>
      <c r="L5" s="130"/>
      <c r="M5" s="130"/>
      <c r="N5" s="130"/>
      <c r="O5" s="130"/>
    </row>
    <row r="6" spans="1:22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  <c r="K6" s="130"/>
      <c r="L6" s="130"/>
      <c r="M6" s="130"/>
      <c r="N6" s="130"/>
      <c r="O6" s="130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K7" s="130"/>
      <c r="L7" s="130"/>
      <c r="M7" s="130"/>
      <c r="N7" s="130"/>
      <c r="O7" s="130"/>
      <c r="P7" s="130"/>
    </row>
    <row r="8" spans="1:22" s="5" customFormat="1" x14ac:dyDescent="0.2">
      <c r="A8" s="6" t="s">
        <v>8</v>
      </c>
      <c r="B8" s="7">
        <v>970273398</v>
      </c>
      <c r="C8" s="7">
        <v>970273398</v>
      </c>
      <c r="D8" s="7">
        <v>295283980.74000001</v>
      </c>
      <c r="E8" s="7">
        <v>824487322.13</v>
      </c>
      <c r="F8" s="7">
        <v>0</v>
      </c>
      <c r="G8" s="7">
        <f t="shared" ref="G8:G30" si="0">SUM(E8:F8)</f>
        <v>824487322.13</v>
      </c>
      <c r="H8" s="7">
        <f t="shared" ref="H8:H12" si="1">C8-G8</f>
        <v>145786075.87</v>
      </c>
      <c r="I8" s="33">
        <f>IF(C8=0,"NA",H8/C8)</f>
        <v>0.15025257434709141</v>
      </c>
      <c r="K8"/>
      <c r="L8" s="131"/>
      <c r="M8" s="131"/>
      <c r="N8" s="131"/>
      <c r="O8" s="131"/>
      <c r="P8" s="131"/>
      <c r="R8" s="130"/>
      <c r="S8" s="130"/>
      <c r="T8" s="130"/>
      <c r="U8" s="130"/>
      <c r="V8" s="130"/>
    </row>
    <row r="9" spans="1:22" s="5" customFormat="1" x14ac:dyDescent="0.2">
      <c r="A9" s="6" t="s">
        <v>9</v>
      </c>
      <c r="B9" s="7">
        <v>15000000</v>
      </c>
      <c r="C9" s="7">
        <v>15000000</v>
      </c>
      <c r="D9" s="7">
        <v>0</v>
      </c>
      <c r="E9" s="7">
        <v>6549863.8399999999</v>
      </c>
      <c r="F9" s="7">
        <v>0</v>
      </c>
      <c r="G9" s="7">
        <f>SUM(E9:F9)</f>
        <v>6549863.8399999999</v>
      </c>
      <c r="H9" s="7">
        <f>C9-G9</f>
        <v>8450136.1600000001</v>
      </c>
      <c r="I9" s="33">
        <f t="shared" ref="I9:I30" si="2">IF(C9=0,"NA",H9/C9)</f>
        <v>0.56334241066666668</v>
      </c>
      <c r="K9"/>
      <c r="L9" s="131"/>
      <c r="M9" s="131"/>
      <c r="N9" s="131"/>
      <c r="O9" s="131"/>
      <c r="P9" s="131"/>
      <c r="R9" s="130"/>
      <c r="S9" s="130"/>
      <c r="T9" s="130"/>
      <c r="U9" s="130"/>
      <c r="V9" s="130"/>
    </row>
    <row r="10" spans="1:22" s="5" customFormat="1" x14ac:dyDescent="0.2">
      <c r="A10" s="6" t="s">
        <v>10</v>
      </c>
      <c r="B10" s="7">
        <v>559830156</v>
      </c>
      <c r="C10" s="7">
        <v>560327715</v>
      </c>
      <c r="D10" s="7">
        <v>45944251</v>
      </c>
      <c r="E10" s="7">
        <v>168472062.39999998</v>
      </c>
      <c r="F10" s="7">
        <v>0</v>
      </c>
      <c r="G10" s="7">
        <f t="shared" si="0"/>
        <v>168472062.39999998</v>
      </c>
      <c r="H10" s="7">
        <f t="shared" si="1"/>
        <v>391855652.60000002</v>
      </c>
      <c r="I10" s="33">
        <f t="shared" si="2"/>
        <v>0.69933298337741512</v>
      </c>
      <c r="K10"/>
      <c r="L10" s="131"/>
      <c r="M10" s="131"/>
      <c r="N10" s="131"/>
      <c r="O10" s="131"/>
      <c r="P10" s="131"/>
      <c r="R10" s="130"/>
      <c r="S10" s="130"/>
      <c r="T10" s="130"/>
      <c r="U10" s="130"/>
      <c r="V10" s="130"/>
    </row>
    <row r="11" spans="1:22" s="5" customFormat="1" x14ac:dyDescent="0.2">
      <c r="A11" s="6" t="s">
        <v>74</v>
      </c>
      <c r="B11" s="7">
        <v>0</v>
      </c>
      <c r="C11" s="7">
        <v>7075000</v>
      </c>
      <c r="D11" s="7">
        <v>0</v>
      </c>
      <c r="E11" s="7">
        <v>0</v>
      </c>
      <c r="F11" s="7">
        <v>0</v>
      </c>
      <c r="G11" s="7">
        <f t="shared" ref="G11" si="3">SUM(E11:F11)</f>
        <v>0</v>
      </c>
      <c r="H11" s="7">
        <f t="shared" ref="H11" si="4">C11-G11</f>
        <v>7075000</v>
      </c>
      <c r="I11" s="33">
        <f t="shared" ref="I11" si="5">IF(C11=0,"NA",H11/C11)</f>
        <v>1</v>
      </c>
      <c r="K11"/>
      <c r="L11" s="131"/>
      <c r="M11" s="131"/>
      <c r="N11" s="131"/>
      <c r="O11" s="131"/>
      <c r="P11" s="131"/>
      <c r="R11" s="130"/>
      <c r="S11" s="130"/>
      <c r="T11" s="130"/>
      <c r="U11" s="130"/>
      <c r="V11" s="130"/>
    </row>
    <row r="12" spans="1:22" s="5" customFormat="1" x14ac:dyDescent="0.2">
      <c r="A12" s="6" t="s">
        <v>11</v>
      </c>
      <c r="B12" s="7">
        <v>0</v>
      </c>
      <c r="C12" s="7">
        <v>0</v>
      </c>
      <c r="D12" s="7">
        <v>10516.88</v>
      </c>
      <c r="E12" s="7">
        <v>109545.11</v>
      </c>
      <c r="F12" s="7">
        <v>0</v>
      </c>
      <c r="G12" s="7">
        <f t="shared" si="0"/>
        <v>109545.11</v>
      </c>
      <c r="H12" s="7">
        <f t="shared" si="1"/>
        <v>-109545.11</v>
      </c>
      <c r="I12" s="33" t="str">
        <f t="shared" si="2"/>
        <v>NA</v>
      </c>
      <c r="K12"/>
      <c r="L12" s="131"/>
      <c r="M12" s="131"/>
      <c r="N12" s="131"/>
      <c r="O12" s="131"/>
      <c r="P12" s="131"/>
      <c r="R12" s="130"/>
      <c r="S12" s="130"/>
      <c r="T12" s="130"/>
      <c r="U12" s="130"/>
      <c r="V12" s="130"/>
    </row>
    <row r="13" spans="1:22" s="5" customFormat="1" ht="24.95" customHeight="1" x14ac:dyDescent="0.25">
      <c r="A13" s="10" t="s">
        <v>12</v>
      </c>
      <c r="B13" s="11">
        <f t="shared" ref="B13:H13" si="6">SUM(B8:B12)</f>
        <v>1545103554</v>
      </c>
      <c r="C13" s="11">
        <f t="shared" si="6"/>
        <v>1552676113</v>
      </c>
      <c r="D13" s="11">
        <f t="shared" si="6"/>
        <v>341238748.62</v>
      </c>
      <c r="E13" s="11">
        <f t="shared" si="6"/>
        <v>999618793.48000002</v>
      </c>
      <c r="F13" s="11">
        <f t="shared" si="6"/>
        <v>0</v>
      </c>
      <c r="G13" s="11">
        <f t="shared" si="6"/>
        <v>999618793.48000002</v>
      </c>
      <c r="H13" s="11">
        <f t="shared" si="6"/>
        <v>553057319.51999998</v>
      </c>
      <c r="I13" s="34">
        <f t="shared" si="2"/>
        <v>0.3561961924250972</v>
      </c>
      <c r="K13" s="1"/>
      <c r="L13" s="1"/>
      <c r="M13" s="1"/>
      <c r="N13" s="1"/>
      <c r="O13" s="129"/>
      <c r="P13" s="1"/>
      <c r="Q13" s="1"/>
      <c r="R13" s="1"/>
    </row>
    <row r="14" spans="1:22" s="5" customFormat="1" x14ac:dyDescent="0.25">
      <c r="A14" s="12" t="s">
        <v>13</v>
      </c>
      <c r="B14" s="13">
        <v>881281747.0299896</v>
      </c>
      <c r="C14" s="13">
        <v>891489700.70998955</v>
      </c>
      <c r="D14" s="13">
        <v>72620317.099999845</v>
      </c>
      <c r="E14" s="13">
        <v>286251054.33999908</v>
      </c>
      <c r="F14" s="13">
        <v>8723695.9800000079</v>
      </c>
      <c r="G14" s="13">
        <f t="shared" si="0"/>
        <v>294974750.3199991</v>
      </c>
      <c r="H14" s="13">
        <f t="shared" ref="H14:H30" si="7">C14-G14</f>
        <v>596514950.38999045</v>
      </c>
      <c r="I14" s="33">
        <f t="shared" si="2"/>
        <v>0.66912152761262544</v>
      </c>
      <c r="K14" s="129"/>
      <c r="L14" s="129"/>
      <c r="M14" s="129"/>
      <c r="N14" s="129"/>
      <c r="O14" s="129"/>
      <c r="P14" s="130"/>
      <c r="Q14" s="130"/>
      <c r="R14" s="130"/>
      <c r="S14" s="130"/>
      <c r="T14" s="130"/>
      <c r="U14" s="130"/>
      <c r="V14" s="130"/>
    </row>
    <row r="15" spans="1:22" s="5" customFormat="1" x14ac:dyDescent="0.25">
      <c r="A15" s="6" t="s">
        <v>14</v>
      </c>
      <c r="B15" s="7">
        <v>93144658.279999956</v>
      </c>
      <c r="C15" s="7">
        <v>89205746.769999951</v>
      </c>
      <c r="D15" s="7">
        <v>8053331.3300000075</v>
      </c>
      <c r="E15" s="7">
        <v>29865009.200000085</v>
      </c>
      <c r="F15" s="7">
        <v>2587138.87</v>
      </c>
      <c r="G15" s="7">
        <f t="shared" si="0"/>
        <v>32452148.070000086</v>
      </c>
      <c r="H15" s="7">
        <f t="shared" si="7"/>
        <v>56753598.699999869</v>
      </c>
      <c r="I15" s="33">
        <f t="shared" si="2"/>
        <v>0.63621011823742957</v>
      </c>
      <c r="K15" s="129"/>
      <c r="L15" s="129"/>
      <c r="M15" s="129"/>
      <c r="N15" s="129"/>
      <c r="O15" s="129"/>
      <c r="P15" s="130"/>
      <c r="Q15" s="130"/>
      <c r="R15" s="130"/>
      <c r="S15" s="130"/>
      <c r="T15" s="130"/>
      <c r="U15" s="130"/>
      <c r="V15" s="130"/>
    </row>
    <row r="16" spans="1:22" s="5" customFormat="1" x14ac:dyDescent="0.25">
      <c r="A16" s="6" t="s">
        <v>15</v>
      </c>
      <c r="B16" s="7">
        <v>23374032.369999971</v>
      </c>
      <c r="C16" s="7">
        <v>23662821.549999971</v>
      </c>
      <c r="D16" s="7">
        <v>1261965.9799999988</v>
      </c>
      <c r="E16" s="7">
        <v>6941140.2600000035</v>
      </c>
      <c r="F16" s="7">
        <v>1251665.9799999993</v>
      </c>
      <c r="G16" s="7">
        <f t="shared" si="0"/>
        <v>8192806.240000003</v>
      </c>
      <c r="H16" s="7">
        <f t="shared" si="7"/>
        <v>15470015.309999969</v>
      </c>
      <c r="I16" s="33">
        <f t="shared" si="2"/>
        <v>0.65376883637107885</v>
      </c>
      <c r="K16" s="129"/>
      <c r="L16" s="129"/>
      <c r="M16" s="129"/>
      <c r="N16" s="129"/>
      <c r="O16" s="129"/>
      <c r="P16" s="130"/>
      <c r="Q16" s="130"/>
      <c r="R16" s="130"/>
      <c r="S16" s="130"/>
      <c r="T16" s="130"/>
      <c r="U16" s="130"/>
      <c r="V16" s="130"/>
    </row>
    <row r="17" spans="1:22" s="5" customFormat="1" x14ac:dyDescent="0.2">
      <c r="A17" s="6" t="s">
        <v>16</v>
      </c>
      <c r="B17" s="7">
        <v>659974.74</v>
      </c>
      <c r="C17" s="7">
        <v>809023.03</v>
      </c>
      <c r="D17" s="7">
        <v>11289.16</v>
      </c>
      <c r="E17" s="7">
        <v>117309.82999999997</v>
      </c>
      <c r="F17" s="7">
        <v>5872.16</v>
      </c>
      <c r="G17" s="7">
        <f t="shared" si="0"/>
        <v>123181.98999999998</v>
      </c>
      <c r="H17" s="7">
        <f t="shared" si="7"/>
        <v>685841.04</v>
      </c>
      <c r="I17" s="33">
        <f t="shared" si="2"/>
        <v>0.8477398226846522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</row>
    <row r="18" spans="1:22" s="5" customFormat="1" x14ac:dyDescent="0.2">
      <c r="A18" s="6" t="s">
        <v>17</v>
      </c>
      <c r="B18" s="7">
        <v>16287854.610000025</v>
      </c>
      <c r="C18" s="7">
        <v>18124378.080000021</v>
      </c>
      <c r="D18" s="7">
        <v>1862213.8699999996</v>
      </c>
      <c r="E18" s="7">
        <v>7305392.1700000027</v>
      </c>
      <c r="F18" s="7">
        <v>106337.68000000002</v>
      </c>
      <c r="G18" s="7">
        <f t="shared" si="0"/>
        <v>7411729.8500000024</v>
      </c>
      <c r="H18" s="7">
        <f t="shared" si="7"/>
        <v>10712648.230000019</v>
      </c>
      <c r="I18" s="33">
        <f t="shared" si="2"/>
        <v>0.59106294200633924</v>
      </c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</row>
    <row r="19" spans="1:22" s="5" customFormat="1" x14ac:dyDescent="0.2">
      <c r="A19" s="6" t="s">
        <v>18</v>
      </c>
      <c r="B19" s="7">
        <v>63618909.000000127</v>
      </c>
      <c r="C19" s="7">
        <v>78319242.700000152</v>
      </c>
      <c r="D19" s="7">
        <v>2702198.0600000015</v>
      </c>
      <c r="E19" s="7">
        <v>33350666.770000003</v>
      </c>
      <c r="F19" s="7">
        <v>2907853.5800000005</v>
      </c>
      <c r="G19" s="7">
        <f t="shared" si="0"/>
        <v>36258520.350000001</v>
      </c>
      <c r="H19" s="7">
        <f t="shared" si="7"/>
        <v>42060722.350000151</v>
      </c>
      <c r="I19" s="33">
        <f t="shared" si="2"/>
        <v>0.53704199504472572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</row>
    <row r="20" spans="1:22" s="5" customFormat="1" x14ac:dyDescent="0.2">
      <c r="A20" s="6" t="s">
        <v>19</v>
      </c>
      <c r="B20" s="7">
        <v>71833295.980000466</v>
      </c>
      <c r="C20" s="7">
        <v>71818920.450000465</v>
      </c>
      <c r="D20" s="7">
        <v>7314391.0400000038</v>
      </c>
      <c r="E20" s="7">
        <v>34772602.410000011</v>
      </c>
      <c r="F20" s="7">
        <v>950.88</v>
      </c>
      <c r="G20" s="7">
        <f t="shared" si="0"/>
        <v>34773553.290000014</v>
      </c>
      <c r="H20" s="7">
        <f t="shared" si="7"/>
        <v>37045367.160000451</v>
      </c>
      <c r="I20" s="33">
        <f t="shared" si="2"/>
        <v>0.51581626301095718</v>
      </c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</row>
    <row r="21" spans="1:22" s="5" customFormat="1" x14ac:dyDescent="0.2">
      <c r="A21" s="6" t="s">
        <v>20</v>
      </c>
      <c r="B21" s="7">
        <v>21718626.970000003</v>
      </c>
      <c r="C21" s="7">
        <v>23286747.960000001</v>
      </c>
      <c r="D21" s="7">
        <v>1580161.24</v>
      </c>
      <c r="E21" s="7">
        <v>7776555.6500000004</v>
      </c>
      <c r="F21" s="7">
        <v>1545922.0299999998</v>
      </c>
      <c r="G21" s="7">
        <f t="shared" si="0"/>
        <v>9322477.6799999997</v>
      </c>
      <c r="H21" s="7">
        <f t="shared" si="7"/>
        <v>13964270.280000001</v>
      </c>
      <c r="I21" s="33">
        <f t="shared" si="2"/>
        <v>0.59966596898745328</v>
      </c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</row>
    <row r="22" spans="1:22" s="5" customFormat="1" x14ac:dyDescent="0.2">
      <c r="A22" s="6" t="s">
        <v>70</v>
      </c>
      <c r="B22" s="7">
        <v>261530763.45999974</v>
      </c>
      <c r="C22" s="7">
        <v>258028877.83999977</v>
      </c>
      <c r="D22" s="7">
        <v>14206751.22000001</v>
      </c>
      <c r="E22" s="7">
        <v>81340203.929999992</v>
      </c>
      <c r="F22" s="7">
        <v>31785540.790000003</v>
      </c>
      <c r="G22" s="7">
        <f t="shared" si="0"/>
        <v>113125744.72</v>
      </c>
      <c r="H22" s="7">
        <f t="shared" si="7"/>
        <v>144903133.11999977</v>
      </c>
      <c r="I22" s="33">
        <f t="shared" si="2"/>
        <v>0.56157719373508364</v>
      </c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</row>
    <row r="23" spans="1:22" s="5" customFormat="1" x14ac:dyDescent="0.2">
      <c r="A23" s="6" t="s">
        <v>76</v>
      </c>
      <c r="B23" s="7">
        <v>0</v>
      </c>
      <c r="C23" s="7">
        <v>0</v>
      </c>
      <c r="D23" s="7">
        <v>202473.37999999998</v>
      </c>
      <c r="E23" s="7">
        <v>426968.69999999995</v>
      </c>
      <c r="F23" s="7">
        <v>0</v>
      </c>
      <c r="G23" s="7">
        <f t="shared" ref="G23" si="8">SUM(E23:F23)</f>
        <v>426968.69999999995</v>
      </c>
      <c r="H23" s="7">
        <f t="shared" ref="H23" si="9">C23-G23</f>
        <v>-426968.69999999995</v>
      </c>
      <c r="I23" s="33" t="str">
        <f t="shared" ref="I23" si="10">IF(C23=0,"NA",H23/C23)</f>
        <v>NA</v>
      </c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</row>
    <row r="24" spans="1:22" s="5" customFormat="1" x14ac:dyDescent="0.2">
      <c r="A24" s="6" t="s">
        <v>21</v>
      </c>
      <c r="B24" s="7">
        <v>95740171.480000004</v>
      </c>
      <c r="C24" s="7">
        <v>106481303.48</v>
      </c>
      <c r="D24" s="7">
        <v>6607558.2800000012</v>
      </c>
      <c r="E24" s="7">
        <v>26398406.300000004</v>
      </c>
      <c r="F24" s="7">
        <v>11137091.66</v>
      </c>
      <c r="G24" s="7">
        <f t="shared" si="0"/>
        <v>37535497.960000008</v>
      </c>
      <c r="H24" s="7">
        <f t="shared" si="7"/>
        <v>68945805.519999996</v>
      </c>
      <c r="I24" s="33">
        <f t="shared" si="2"/>
        <v>0.64749212553497559</v>
      </c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</row>
    <row r="25" spans="1:22" s="5" customFormat="1" x14ac:dyDescent="0.2">
      <c r="A25" s="6" t="s">
        <v>22</v>
      </c>
      <c r="B25" s="7">
        <v>43721314.939999998</v>
      </c>
      <c r="C25" s="7">
        <v>44040110.079999998</v>
      </c>
      <c r="D25" s="7">
        <v>5690214.1699999999</v>
      </c>
      <c r="E25" s="7">
        <v>23738136.519999996</v>
      </c>
      <c r="F25" s="7">
        <v>8117313.8600000013</v>
      </c>
      <c r="G25" s="7">
        <f t="shared" si="0"/>
        <v>31855450.379999995</v>
      </c>
      <c r="H25" s="7">
        <f t="shared" si="7"/>
        <v>12184659.700000003</v>
      </c>
      <c r="I25" s="33">
        <f t="shared" si="2"/>
        <v>0.2766718720245307</v>
      </c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</row>
    <row r="26" spans="1:22" s="5" customFormat="1" x14ac:dyDescent="0.25">
      <c r="A26" s="6" t="s">
        <v>23</v>
      </c>
      <c r="B26" s="7">
        <v>1492693.29</v>
      </c>
      <c r="C26" s="7">
        <v>1492693.29</v>
      </c>
      <c r="D26" s="7">
        <v>206081.16</v>
      </c>
      <c r="E26" s="7">
        <v>804317.31</v>
      </c>
      <c r="F26" s="7">
        <v>0</v>
      </c>
      <c r="G26" s="7">
        <f t="shared" si="0"/>
        <v>804317.31</v>
      </c>
      <c r="H26" s="7">
        <f t="shared" si="7"/>
        <v>688375.98</v>
      </c>
      <c r="I26" s="33">
        <f t="shared" si="2"/>
        <v>0.46116371300898656</v>
      </c>
      <c r="K26" s="1"/>
      <c r="L26" s="129"/>
      <c r="M26" s="129"/>
      <c r="N26" s="129"/>
      <c r="O26" s="129"/>
      <c r="P26" s="129"/>
      <c r="Q26" s="130"/>
      <c r="R26" s="130"/>
      <c r="S26" s="130"/>
      <c r="T26" s="130"/>
      <c r="U26" s="130"/>
      <c r="V26" s="130"/>
    </row>
    <row r="27" spans="1:22" s="5" customFormat="1" x14ac:dyDescent="0.25">
      <c r="A27" s="6" t="s">
        <v>29</v>
      </c>
      <c r="B27" s="7">
        <v>351273</v>
      </c>
      <c r="C27" s="7">
        <v>351273</v>
      </c>
      <c r="D27" s="7">
        <v>0</v>
      </c>
      <c r="E27" s="7">
        <v>0</v>
      </c>
      <c r="F27" s="7">
        <v>0</v>
      </c>
      <c r="G27" s="7">
        <f t="shared" si="0"/>
        <v>0</v>
      </c>
      <c r="H27" s="7">
        <f t="shared" si="7"/>
        <v>351273</v>
      </c>
      <c r="I27" s="33">
        <f t="shared" si="2"/>
        <v>1</v>
      </c>
      <c r="K27" s="1"/>
      <c r="L27" s="129"/>
      <c r="M27" s="129"/>
      <c r="N27" s="129"/>
      <c r="O27" s="129"/>
      <c r="P27" s="129"/>
      <c r="Q27" s="130"/>
      <c r="R27" s="130"/>
      <c r="S27" s="130"/>
      <c r="T27" s="130"/>
      <c r="U27" s="130"/>
      <c r="V27" s="130"/>
    </row>
    <row r="28" spans="1:22" s="5" customFormat="1" x14ac:dyDescent="0.25">
      <c r="A28" s="6" t="s">
        <v>30</v>
      </c>
      <c r="B28" s="7">
        <v>1502100</v>
      </c>
      <c r="C28" s="7">
        <v>802100</v>
      </c>
      <c r="D28" s="7">
        <v>94848.08</v>
      </c>
      <c r="E28" s="7">
        <v>329875.94</v>
      </c>
      <c r="F28" s="7">
        <v>0</v>
      </c>
      <c r="G28" s="7">
        <f t="shared" ref="G28" si="11">SUM(E28:F28)</f>
        <v>329875.94</v>
      </c>
      <c r="H28" s="7">
        <f t="shared" ref="H28:H29" si="12">C28-G28</f>
        <v>472224.06</v>
      </c>
      <c r="I28" s="33">
        <f t="shared" ref="I28:I29" si="13">IF(C28=0,"NA",H28/C28)</f>
        <v>0.58873464655279895</v>
      </c>
      <c r="K28" s="1"/>
      <c r="L28" s="129"/>
      <c r="M28" s="129"/>
      <c r="N28" s="129"/>
      <c r="O28" s="129"/>
      <c r="P28" s="129"/>
      <c r="Q28" s="130"/>
      <c r="R28" s="130"/>
      <c r="S28" s="130"/>
      <c r="T28" s="130"/>
      <c r="U28" s="130"/>
      <c r="V28" s="130"/>
    </row>
    <row r="29" spans="1:22" s="5" customFormat="1" x14ac:dyDescent="0.2">
      <c r="A29" s="6" t="s">
        <v>25</v>
      </c>
      <c r="B29" s="7">
        <v>26854843</v>
      </c>
      <c r="C29" s="7">
        <v>48354843</v>
      </c>
      <c r="D29" s="7">
        <v>21500000</v>
      </c>
      <c r="E29" s="7">
        <v>42500000</v>
      </c>
      <c r="F29" s="7">
        <v>0</v>
      </c>
      <c r="G29" s="7">
        <f t="shared" ref="G29" si="14">SUM(E29:F29)</f>
        <v>42500000</v>
      </c>
      <c r="H29" s="7">
        <f t="shared" si="12"/>
        <v>5854843</v>
      </c>
      <c r="I29" s="33">
        <f t="shared" si="13"/>
        <v>0.12108079846314464</v>
      </c>
    </row>
    <row r="30" spans="1:22" s="5" customFormat="1" x14ac:dyDescent="0.2">
      <c r="A30" s="6" t="s">
        <v>24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 t="shared" si="0"/>
        <v>0</v>
      </c>
      <c r="H30" s="7">
        <f t="shared" si="7"/>
        <v>0</v>
      </c>
      <c r="I30" s="33" t="str">
        <f t="shared" si="2"/>
        <v>NA</v>
      </c>
    </row>
    <row r="31" spans="1:22" s="5" customFormat="1" ht="24.95" customHeight="1" x14ac:dyDescent="0.25">
      <c r="A31" s="10" t="s">
        <v>26</v>
      </c>
      <c r="B31" s="11">
        <f>SUM(B14:B30)</f>
        <v>1603112258.1499901</v>
      </c>
      <c r="C31" s="11">
        <f>SUM(C14:C30)</f>
        <v>1656267781.9399898</v>
      </c>
      <c r="D31" s="11">
        <f>SUM(D14:D30)</f>
        <v>143913794.06999987</v>
      </c>
      <c r="E31" s="11">
        <f>SUM(E14:E30)</f>
        <v>581917639.32999921</v>
      </c>
      <c r="F31" s="11">
        <f>SUM(F14:F30)</f>
        <v>68169383.470000014</v>
      </c>
      <c r="G31" s="11">
        <f>SUM(G14:G30)</f>
        <v>650087022.79999936</v>
      </c>
      <c r="H31" s="11">
        <f>SUM(H14:H30)</f>
        <v>1006180759.1399906</v>
      </c>
      <c r="I31" s="34">
        <f>IF(C31=0,"NA",H31/C31)</f>
        <v>0.60749884174010138</v>
      </c>
      <c r="K31" s="1"/>
      <c r="L31" s="1"/>
      <c r="M31" s="1"/>
      <c r="N31" s="1"/>
      <c r="O31" s="129"/>
      <c r="P31" s="1"/>
      <c r="Q31" s="1"/>
      <c r="R31" s="1"/>
    </row>
    <row r="32" spans="1:22" s="5" customFormat="1" ht="24.95" customHeight="1" x14ac:dyDescent="0.25">
      <c r="A32" s="12"/>
      <c r="B32" s="13"/>
      <c r="C32" s="13"/>
      <c r="D32" s="13"/>
      <c r="E32" s="13"/>
      <c r="F32" s="13"/>
      <c r="G32" s="13"/>
      <c r="H32" s="13"/>
      <c r="I32" s="15"/>
      <c r="K32" s="1"/>
      <c r="L32" s="129"/>
      <c r="M32" s="129"/>
      <c r="N32" s="129"/>
      <c r="O32" s="129"/>
      <c r="P32" s="129"/>
      <c r="Q32" s="1"/>
      <c r="R32" s="1"/>
      <c r="S32" s="1"/>
      <c r="T32" s="1"/>
    </row>
    <row r="33" spans="1:20" s="5" customFormat="1" x14ac:dyDescent="0.25">
      <c r="A33" s="6" t="s">
        <v>27</v>
      </c>
      <c r="B33" s="7">
        <f>B13-B31</f>
        <v>-58008704.149990082</v>
      </c>
      <c r="C33" s="7">
        <f>C13-C31</f>
        <v>-103591668.93998981</v>
      </c>
      <c r="D33" s="7">
        <f>D13-D31</f>
        <v>197324954.55000013</v>
      </c>
      <c r="E33" s="7">
        <f>E13-E31</f>
        <v>417701154.15000081</v>
      </c>
      <c r="F33" s="7"/>
      <c r="G33" s="7">
        <f>G13-G31</f>
        <v>349531770.68000066</v>
      </c>
      <c r="H33" s="7"/>
      <c r="I33" s="16"/>
      <c r="K33" s="1"/>
      <c r="L33" s="129"/>
      <c r="M33" s="129"/>
      <c r="N33" s="129"/>
      <c r="O33" s="129"/>
      <c r="P33" s="129"/>
      <c r="Q33" s="1"/>
      <c r="R33" s="1"/>
      <c r="S33" s="1"/>
      <c r="T33" s="1"/>
    </row>
    <row r="34" spans="1:20" s="5" customFormat="1" x14ac:dyDescent="0.25">
      <c r="A34" s="8"/>
      <c r="B34" s="9"/>
      <c r="C34" s="9"/>
      <c r="D34" s="9"/>
      <c r="E34" s="9"/>
      <c r="F34" s="9"/>
      <c r="G34" s="9"/>
      <c r="H34" s="9"/>
      <c r="I34" s="17"/>
      <c r="K34" s="1"/>
      <c r="L34" s="129"/>
      <c r="M34" s="129"/>
      <c r="N34" s="129"/>
      <c r="O34" s="129"/>
      <c r="P34" s="129"/>
      <c r="Q34" s="1"/>
      <c r="R34" s="1"/>
      <c r="S34" s="1"/>
      <c r="T34" s="1"/>
    </row>
    <row r="35" spans="1:20" s="5" customFormat="1" x14ac:dyDescent="0.25">
      <c r="A35" s="136" t="s">
        <v>67</v>
      </c>
      <c r="B35" s="20"/>
      <c r="C35" s="20"/>
      <c r="D35" s="20"/>
      <c r="E35" s="20">
        <v>490773194.26999998</v>
      </c>
      <c r="F35" s="20"/>
      <c r="G35" s="20">
        <f>E35</f>
        <v>490773194.26999998</v>
      </c>
      <c r="H35" s="20"/>
      <c r="I35" s="21"/>
      <c r="K35" s="1"/>
      <c r="L35" s="129"/>
      <c r="M35" s="129"/>
      <c r="N35" s="129"/>
      <c r="O35" s="129"/>
      <c r="P35" s="129"/>
      <c r="Q35" s="1"/>
      <c r="R35" s="1"/>
      <c r="S35" s="1"/>
      <c r="T35" s="1"/>
    </row>
    <row r="36" spans="1:20" s="5" customFormat="1" ht="24.75" customHeight="1" x14ac:dyDescent="0.25">
      <c r="A36" s="136" t="s">
        <v>68</v>
      </c>
      <c r="B36" s="20"/>
      <c r="C36" s="20"/>
      <c r="D36" s="20"/>
      <c r="E36" s="20">
        <v>45000000</v>
      </c>
      <c r="F36" s="20"/>
      <c r="G36" s="20">
        <f>E36</f>
        <v>45000000</v>
      </c>
      <c r="H36" s="20"/>
      <c r="I36" s="21"/>
      <c r="K36" s="1"/>
      <c r="L36" s="129"/>
      <c r="M36" s="129"/>
      <c r="N36" s="129"/>
      <c r="O36" s="129"/>
      <c r="P36" s="129"/>
      <c r="Q36" s="1"/>
      <c r="R36" s="1"/>
      <c r="S36" s="1"/>
      <c r="T36" s="1"/>
    </row>
    <row r="37" spans="1:20" s="5" customFormat="1" ht="27.75" customHeight="1" x14ac:dyDescent="0.25">
      <c r="A37" s="18" t="s">
        <v>69</v>
      </c>
      <c r="B37" s="20"/>
      <c r="C37" s="20"/>
      <c r="D37" s="20"/>
      <c r="E37" s="20">
        <f>E35-E36</f>
        <v>445773194.26999998</v>
      </c>
      <c r="F37" s="20"/>
      <c r="G37" s="20">
        <f>E37</f>
        <v>445773194.26999998</v>
      </c>
      <c r="H37" s="20"/>
      <c r="I37" s="21"/>
      <c r="K37" s="1"/>
      <c r="L37" s="129"/>
      <c r="M37" s="129"/>
      <c r="N37" s="129"/>
      <c r="O37" s="129"/>
      <c r="P37" s="129"/>
      <c r="Q37" s="1"/>
      <c r="R37" s="1"/>
      <c r="S37" s="1"/>
      <c r="T37" s="1"/>
    </row>
    <row r="38" spans="1:20" ht="15.75" thickBot="1" x14ac:dyDescent="0.3">
      <c r="A38" s="22" t="s">
        <v>28</v>
      </c>
      <c r="B38" s="24"/>
      <c r="C38" s="24"/>
      <c r="D38" s="24"/>
      <c r="E38" s="24">
        <f>+E37+E33</f>
        <v>863474348.42000079</v>
      </c>
      <c r="F38" s="24"/>
      <c r="G38" s="24">
        <f>+G37+G33</f>
        <v>795304964.95000064</v>
      </c>
      <c r="H38" s="24"/>
      <c r="I38" s="25"/>
      <c r="J38" s="5"/>
    </row>
    <row r="39" spans="1:20" x14ac:dyDescent="0.25">
      <c r="A39" s="5"/>
      <c r="B39" s="31"/>
      <c r="C39" s="31"/>
      <c r="D39" s="31"/>
      <c r="E39" s="31"/>
      <c r="F39" s="31"/>
      <c r="G39" s="31"/>
      <c r="H39" s="31"/>
      <c r="I39" s="5"/>
      <c r="J39" s="5"/>
    </row>
    <row r="40" spans="1:20" x14ac:dyDescent="0.25">
      <c r="B40" s="129"/>
      <c r="C40" s="129"/>
      <c r="D40" s="129"/>
      <c r="E40" s="129"/>
      <c r="F40" s="129"/>
      <c r="G40" s="129"/>
      <c r="H40" s="129"/>
    </row>
    <row r="41" spans="1:20" x14ac:dyDescent="0.25">
      <c r="B41" s="129"/>
      <c r="C41" s="129"/>
      <c r="D41" s="129"/>
      <c r="E41" s="129"/>
      <c r="F41" s="129"/>
      <c r="G41" s="129"/>
      <c r="H41" s="129"/>
      <c r="I41" s="129"/>
      <c r="J41" s="129"/>
    </row>
    <row r="42" spans="1:20" x14ac:dyDescent="0.25">
      <c r="B42" s="129"/>
      <c r="C42" s="129"/>
      <c r="D42" s="1"/>
      <c r="E42" s="1"/>
      <c r="F42" s="1"/>
      <c r="G42" s="1"/>
      <c r="H42" s="1"/>
    </row>
    <row r="43" spans="1:20" x14ac:dyDescent="0.25">
      <c r="B43" s="129"/>
      <c r="C43" s="129"/>
      <c r="D43" s="1"/>
      <c r="E43" s="1"/>
      <c r="F43" s="1"/>
      <c r="G43" s="1"/>
      <c r="H43" s="1"/>
    </row>
    <row r="44" spans="1:20" x14ac:dyDescent="0.25">
      <c r="B44" s="129"/>
      <c r="C44" s="129"/>
      <c r="D44" s="1"/>
      <c r="E44" s="1"/>
      <c r="F44" s="1"/>
      <c r="G44" s="1"/>
      <c r="H44" s="1"/>
    </row>
    <row r="45" spans="1:20" x14ac:dyDescent="0.25">
      <c r="B45" s="129"/>
      <c r="C45" s="129"/>
      <c r="D45" s="1"/>
      <c r="E45" s="1"/>
      <c r="F45" s="1"/>
      <c r="G45" s="1"/>
      <c r="H45" s="1"/>
    </row>
    <row r="46" spans="1:20" x14ac:dyDescent="0.25">
      <c r="B46" s="129"/>
      <c r="C46" s="129"/>
      <c r="D46" s="129"/>
      <c r="E46" s="129"/>
      <c r="F46" s="129"/>
      <c r="G46" s="129"/>
      <c r="H46" s="129"/>
      <c r="I46" s="129"/>
    </row>
    <row r="47" spans="1:20" x14ac:dyDescent="0.25">
      <c r="B47" s="129"/>
      <c r="C47" s="129"/>
      <c r="D47" s="129"/>
      <c r="E47" s="129"/>
      <c r="F47" s="129"/>
      <c r="G47" s="129"/>
      <c r="H47" s="129"/>
      <c r="I47" s="129"/>
    </row>
    <row r="48" spans="1:20" x14ac:dyDescent="0.25">
      <c r="B48" s="129"/>
      <c r="C48" s="129"/>
      <c r="D48" s="129"/>
      <c r="E48" s="129"/>
      <c r="F48" s="1"/>
      <c r="G48" s="1"/>
      <c r="H48" s="1"/>
    </row>
    <row r="49" spans="2:10" x14ac:dyDescent="0.25">
      <c r="B49" s="129"/>
      <c r="C49" s="129"/>
      <c r="D49" s="129"/>
      <c r="E49" s="129"/>
      <c r="F49" s="1"/>
      <c r="G49" s="1"/>
      <c r="H49" s="1"/>
    </row>
    <row r="50" spans="2:10" x14ac:dyDescent="0.25">
      <c r="B50" s="129"/>
      <c r="C50" s="129"/>
      <c r="D50" s="129"/>
      <c r="E50" s="129"/>
      <c r="F50" s="1"/>
      <c r="G50" s="1"/>
      <c r="H50" s="1"/>
    </row>
    <row r="51" spans="2:10" x14ac:dyDescent="0.25">
      <c r="B51" s="129"/>
      <c r="C51" s="129"/>
      <c r="D51" s="129"/>
      <c r="E51" s="129"/>
      <c r="F51" s="1"/>
      <c r="G51" s="1"/>
      <c r="H51" s="129"/>
      <c r="I51" s="129"/>
      <c r="J51" s="129"/>
    </row>
    <row r="52" spans="2:10" x14ac:dyDescent="0.25">
      <c r="B52" s="129"/>
      <c r="C52" s="129"/>
      <c r="D52" s="129"/>
      <c r="E52" s="129"/>
      <c r="F52" s="129"/>
      <c r="G52" s="129"/>
      <c r="H52" s="1"/>
      <c r="I52" s="129"/>
      <c r="J52" s="129"/>
    </row>
    <row r="53" spans="2:10" x14ac:dyDescent="0.25">
      <c r="B53" s="129"/>
      <c r="C53" s="129"/>
      <c r="D53" s="129"/>
      <c r="E53" s="129"/>
      <c r="F53" s="129"/>
      <c r="G53" s="129"/>
      <c r="H53" s="1"/>
    </row>
    <row r="54" spans="2:10" x14ac:dyDescent="0.25">
      <c r="B54" s="129"/>
      <c r="C54" s="129"/>
      <c r="D54" s="129"/>
      <c r="E54" s="129"/>
      <c r="F54" s="129"/>
      <c r="G54" s="129"/>
      <c r="H54" s="129"/>
      <c r="I54" s="129"/>
      <c r="J54" s="129"/>
    </row>
    <row r="55" spans="2:10" x14ac:dyDescent="0.25">
      <c r="B55" s="129"/>
      <c r="C55" s="129"/>
      <c r="D55" s="129"/>
      <c r="E55" s="129"/>
      <c r="F55" s="129"/>
      <c r="G55" s="129"/>
      <c r="H55" s="129"/>
      <c r="I55" s="129"/>
      <c r="J55" s="129"/>
    </row>
    <row r="56" spans="2:10" x14ac:dyDescent="0.25">
      <c r="B56" s="129"/>
      <c r="C56" s="129"/>
      <c r="D56" s="129"/>
      <c r="E56" s="129"/>
      <c r="F56" s="129"/>
      <c r="G56" s="129"/>
      <c r="H56" s="129"/>
      <c r="I56" s="129"/>
      <c r="J56" s="129"/>
    </row>
    <row r="57" spans="2:10" x14ac:dyDescent="0.25">
      <c r="B57" s="129"/>
      <c r="C57" s="129"/>
      <c r="D57" s="129"/>
      <c r="E57" s="129"/>
      <c r="F57" s="129"/>
      <c r="G57" s="129"/>
      <c r="H57" s="129"/>
      <c r="I57" s="129"/>
      <c r="J57" s="129"/>
    </row>
    <row r="58" spans="2:10" x14ac:dyDescent="0.25">
      <c r="B58" s="129"/>
      <c r="C58" s="129"/>
      <c r="D58" s="129"/>
      <c r="E58" s="129"/>
      <c r="F58" s="129"/>
      <c r="G58" s="129"/>
      <c r="H58" s="129"/>
      <c r="I58" s="129"/>
      <c r="J58" s="129"/>
    </row>
    <row r="59" spans="2:10" x14ac:dyDescent="0.25">
      <c r="B59" s="129"/>
      <c r="C59" s="129"/>
      <c r="D59" s="129"/>
      <c r="E59" s="129"/>
      <c r="F59" s="129"/>
      <c r="G59" s="129"/>
      <c r="H59" s="129"/>
      <c r="I59" s="129"/>
      <c r="J59" s="129"/>
    </row>
    <row r="60" spans="2:10" x14ac:dyDescent="0.25">
      <c r="B60" s="129"/>
      <c r="C60" s="129"/>
      <c r="D60" s="129"/>
      <c r="E60" s="129"/>
      <c r="F60" s="129"/>
      <c r="G60" s="129"/>
      <c r="H60" s="129"/>
      <c r="I60" s="129"/>
      <c r="J60" s="129"/>
    </row>
    <row r="61" spans="2:10" x14ac:dyDescent="0.25">
      <c r="B61" s="129"/>
      <c r="C61" s="129"/>
      <c r="D61" s="129"/>
      <c r="E61" s="129"/>
      <c r="F61" s="129"/>
      <c r="G61" s="129"/>
      <c r="H61" s="129"/>
      <c r="I61" s="129"/>
      <c r="J61" s="129"/>
    </row>
    <row r="62" spans="2:10" x14ac:dyDescent="0.25">
      <c r="B62" s="129"/>
      <c r="C62" s="129"/>
      <c r="D62" s="129"/>
      <c r="E62" s="129"/>
      <c r="F62" s="129"/>
      <c r="G62" s="129"/>
      <c r="H62" s="129"/>
      <c r="I62" s="129"/>
      <c r="J62" s="129"/>
    </row>
    <row r="63" spans="2:10" x14ac:dyDescent="0.25">
      <c r="B63" s="129"/>
      <c r="C63" s="129"/>
      <c r="D63" s="129"/>
      <c r="E63" s="129"/>
      <c r="F63" s="129"/>
      <c r="G63" s="129"/>
      <c r="H63" s="129"/>
      <c r="I63" s="129"/>
      <c r="J63" s="129"/>
    </row>
    <row r="64" spans="2:10" x14ac:dyDescent="0.25">
      <c r="B64" s="129"/>
      <c r="C64" s="129"/>
      <c r="D64" s="129"/>
      <c r="E64" s="129"/>
      <c r="F64" s="129"/>
      <c r="G64" s="129"/>
      <c r="H64" s="129"/>
      <c r="I64" s="129"/>
      <c r="J64" s="129"/>
    </row>
    <row r="65" spans="2:10" x14ac:dyDescent="0.25">
      <c r="B65" s="129"/>
      <c r="C65" s="129"/>
      <c r="D65" s="129"/>
      <c r="E65" s="129"/>
      <c r="F65" s="129"/>
      <c r="G65" s="129"/>
      <c r="H65" s="129"/>
      <c r="I65" s="129"/>
      <c r="J65" s="129"/>
    </row>
    <row r="66" spans="2:10" x14ac:dyDescent="0.25">
      <c r="B66" s="129"/>
      <c r="C66" s="129"/>
      <c r="D66" s="129"/>
      <c r="E66" s="129"/>
      <c r="F66" s="129"/>
      <c r="G66" s="129"/>
      <c r="H66" s="129"/>
      <c r="I66" s="129"/>
      <c r="J66" s="129"/>
    </row>
    <row r="67" spans="2:10" x14ac:dyDescent="0.25">
      <c r="B67" s="129"/>
      <c r="C67" s="129"/>
      <c r="D67" s="129"/>
      <c r="E67" s="129"/>
      <c r="F67" s="129"/>
      <c r="G67" s="129"/>
      <c r="H67" s="129"/>
      <c r="I67" s="129"/>
      <c r="J67" s="129"/>
    </row>
    <row r="68" spans="2:10" x14ac:dyDescent="0.25">
      <c r="B68" s="129"/>
      <c r="C68" s="129"/>
      <c r="D68" s="129"/>
      <c r="E68" s="129"/>
      <c r="F68" s="129"/>
      <c r="G68" s="129"/>
      <c r="H68" s="129"/>
      <c r="I68" s="129"/>
      <c r="J68" s="129"/>
    </row>
    <row r="69" spans="2:10" x14ac:dyDescent="0.25">
      <c r="B69" s="129"/>
      <c r="C69" s="129"/>
      <c r="D69" s="129"/>
      <c r="E69" s="129"/>
      <c r="F69" s="129"/>
      <c r="G69" s="129"/>
      <c r="H69" s="129"/>
      <c r="I69" s="129"/>
      <c r="J69" s="129"/>
    </row>
    <row r="70" spans="2:10" x14ac:dyDescent="0.25">
      <c r="B70" s="129"/>
      <c r="C70" s="129"/>
      <c r="D70" s="129"/>
      <c r="E70" s="129"/>
      <c r="F70" s="129"/>
      <c r="G70" s="129"/>
      <c r="H70" s="129"/>
      <c r="I70" s="129"/>
      <c r="J70" s="129"/>
    </row>
    <row r="71" spans="2:10" x14ac:dyDescent="0.25">
      <c r="B71" s="129"/>
      <c r="C71" s="129"/>
      <c r="D71" s="129"/>
      <c r="E71" s="129"/>
      <c r="F71" s="129"/>
      <c r="G71" s="129"/>
      <c r="H71" s="129"/>
      <c r="I71" s="129"/>
      <c r="J71" s="129"/>
    </row>
    <row r="72" spans="2:10" x14ac:dyDescent="0.25">
      <c r="B72" s="129"/>
      <c r="C72" s="129"/>
      <c r="D72" s="129"/>
      <c r="E72" s="129"/>
      <c r="F72" s="129"/>
      <c r="G72" s="129"/>
      <c r="H72" s="129"/>
      <c r="I72" s="129"/>
      <c r="J72" s="129"/>
    </row>
    <row r="73" spans="2:10" x14ac:dyDescent="0.25">
      <c r="B73" s="129"/>
      <c r="C73" s="129"/>
      <c r="D73" s="129"/>
      <c r="E73" s="129"/>
      <c r="F73" s="129"/>
      <c r="G73" s="129"/>
      <c r="H73" s="129"/>
      <c r="I73" s="129"/>
      <c r="J73" s="129"/>
    </row>
    <row r="74" spans="2:10" x14ac:dyDescent="0.25">
      <c r="B74" s="129"/>
      <c r="C74" s="129"/>
      <c r="D74" s="129"/>
      <c r="E74" s="129"/>
      <c r="F74" s="129"/>
      <c r="G74" s="129"/>
      <c r="H74" s="129"/>
      <c r="I74" s="129"/>
      <c r="J74" s="129"/>
    </row>
    <row r="75" spans="2:10" x14ac:dyDescent="0.25">
      <c r="B75" s="129"/>
      <c r="C75" s="129"/>
      <c r="D75" s="129"/>
      <c r="E75" s="129"/>
      <c r="F75" s="129"/>
      <c r="G75" s="129"/>
      <c r="H75" s="129"/>
      <c r="I75" s="129"/>
      <c r="J75" s="129"/>
    </row>
    <row r="76" spans="2:10" x14ac:dyDescent="0.25">
      <c r="B76" s="129"/>
    </row>
    <row r="77" spans="2:10" x14ac:dyDescent="0.25">
      <c r="B77" s="129"/>
    </row>
    <row r="78" spans="2:10" x14ac:dyDescent="0.25">
      <c r="B78" s="129"/>
    </row>
    <row r="79" spans="2:10" x14ac:dyDescent="0.25">
      <c r="B79" s="129"/>
    </row>
    <row r="80" spans="2:10" x14ac:dyDescent="0.25">
      <c r="B80" s="129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Z99"/>
  <sheetViews>
    <sheetView topLeftCell="H40" workbookViewId="0">
      <selection activeCell="R57" sqref="R57"/>
    </sheetView>
  </sheetViews>
  <sheetFormatPr defaultRowHeight="12.75" x14ac:dyDescent="0.2"/>
  <cols>
    <col min="1" max="1" width="32.42578125" style="47" bestFit="1" customWidth="1"/>
    <col min="2" max="2" width="15.7109375" style="47" customWidth="1"/>
    <col min="3" max="3" width="18.7109375" style="47" customWidth="1"/>
    <col min="4" max="4" width="45.5703125" style="47" bestFit="1" customWidth="1"/>
    <col min="5" max="5" width="16.140625" style="47" customWidth="1"/>
    <col min="6" max="6" width="12.5703125" style="46" customWidth="1"/>
    <col min="7" max="7" width="13.42578125" style="46" bestFit="1" customWidth="1"/>
    <col min="8" max="8" width="14.42578125" style="46" bestFit="1" customWidth="1"/>
    <col min="9" max="9" width="16" style="46" bestFit="1" customWidth="1"/>
    <col min="10" max="17" width="13.42578125" style="46" bestFit="1" customWidth="1"/>
    <col min="18" max="18" width="69.140625" style="47" customWidth="1"/>
    <col min="19" max="20" width="17" style="91" customWidth="1"/>
    <col min="21" max="21" width="17" style="91" bestFit="1" customWidth="1"/>
    <col min="22" max="16384" width="9.140625" style="47"/>
  </cols>
  <sheetData>
    <row r="1" spans="1:21" ht="21" thickBot="1" x14ac:dyDescent="0.25">
      <c r="A1" s="156" t="s">
        <v>75</v>
      </c>
      <c r="B1" s="157"/>
      <c r="C1" s="157"/>
      <c r="D1" s="157"/>
      <c r="E1" s="157"/>
      <c r="F1" s="157"/>
      <c r="G1" s="158"/>
      <c r="H1" s="45"/>
    </row>
    <row r="2" spans="1:21" x14ac:dyDescent="0.2">
      <c r="A2" s="48"/>
      <c r="B2" s="45"/>
      <c r="C2" s="48"/>
      <c r="D2" s="48"/>
      <c r="E2" s="48"/>
      <c r="F2" s="45"/>
      <c r="G2" s="45"/>
    </row>
    <row r="3" spans="1:21" x14ac:dyDescent="0.2">
      <c r="A3" s="159" t="s">
        <v>35</v>
      </c>
      <c r="B3" s="160"/>
      <c r="C3" s="160"/>
      <c r="D3" s="160"/>
      <c r="E3" s="160"/>
      <c r="F3" s="160"/>
      <c r="G3" s="160"/>
    </row>
    <row r="4" spans="1:21" ht="13.5" thickBot="1" x14ac:dyDescent="0.25">
      <c r="A4" s="48"/>
      <c r="B4" s="45"/>
      <c r="C4" s="48"/>
      <c r="D4" s="48"/>
      <c r="E4" s="48"/>
      <c r="F4" s="45"/>
      <c r="G4" s="45"/>
    </row>
    <row r="5" spans="1:21" ht="26.25" thickBot="1" x14ac:dyDescent="0.25">
      <c r="B5" s="49" t="s">
        <v>36</v>
      </c>
      <c r="C5" s="50" t="s">
        <v>37</v>
      </c>
      <c r="D5" s="48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21" ht="13.5" thickBot="1" x14ac:dyDescent="0.25">
      <c r="A6" s="51" t="s">
        <v>38</v>
      </c>
      <c r="B6" s="52">
        <v>1656267781.9399898</v>
      </c>
      <c r="C6" s="53">
        <f>SUM(F9:Q24)</f>
        <v>581917639.32999933</v>
      </c>
      <c r="D6" s="48"/>
      <c r="E6" s="48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21" ht="26.25" thickBot="1" x14ac:dyDescent="0.25">
      <c r="B7" s="45"/>
      <c r="C7" s="54"/>
      <c r="D7" s="55"/>
      <c r="E7" s="56" t="s">
        <v>39</v>
      </c>
      <c r="F7" s="57" t="s">
        <v>40</v>
      </c>
      <c r="G7" s="58" t="s">
        <v>41</v>
      </c>
      <c r="H7" s="58" t="s">
        <v>42</v>
      </c>
      <c r="I7" s="58" t="s">
        <v>43</v>
      </c>
      <c r="J7" s="58" t="s">
        <v>44</v>
      </c>
      <c r="K7" s="58" t="s">
        <v>45</v>
      </c>
      <c r="L7" s="58" t="s">
        <v>46</v>
      </c>
      <c r="M7" s="58" t="s">
        <v>47</v>
      </c>
      <c r="N7" s="58" t="s">
        <v>48</v>
      </c>
      <c r="O7" s="58" t="s">
        <v>49</v>
      </c>
      <c r="P7" s="58" t="s">
        <v>50</v>
      </c>
      <c r="Q7" s="59" t="s">
        <v>51</v>
      </c>
    </row>
    <row r="8" spans="1:21" x14ac:dyDescent="0.2">
      <c r="B8" s="46"/>
      <c r="C8" s="144"/>
      <c r="D8" s="48"/>
      <c r="E8" s="60"/>
      <c r="P8" s="47"/>
      <c r="Q8" s="47"/>
    </row>
    <row r="9" spans="1:21" x14ac:dyDescent="0.2">
      <c r="B9" s="46"/>
      <c r="D9" s="48" t="s">
        <v>13</v>
      </c>
      <c r="E9" s="61">
        <f>SUM(F9:Q9)</f>
        <v>286251054.33999908</v>
      </c>
      <c r="F9" s="46">
        <f>8832800.71+605799.549999986</f>
        <v>9438600.2599999867</v>
      </c>
      <c r="G9" s="46">
        <f>13021980.7+33066.2200004458</f>
        <v>13055046.920000445</v>
      </c>
      <c r="H9" s="46">
        <f>87306973.18+8671379.37000018</f>
        <v>95978352.550000191</v>
      </c>
      <c r="I9" s="46">
        <f>83947775.8500003 + 11210961.6599983</f>
        <v>95158737.509998605</v>
      </c>
      <c r="J9" s="46">
        <v>72620317.099999845</v>
      </c>
      <c r="P9" s="47"/>
      <c r="Q9" s="91"/>
      <c r="R9" s="47" t="s">
        <v>13</v>
      </c>
      <c r="S9" s="91">
        <v>286251054.33999908</v>
      </c>
      <c r="T9" s="91">
        <f>S9-E9</f>
        <v>0</v>
      </c>
      <c r="U9" s="91">
        <v>11210961.6599983</v>
      </c>
    </row>
    <row r="10" spans="1:21" x14ac:dyDescent="0.2">
      <c r="B10" s="46"/>
      <c r="D10" s="48" t="s">
        <v>14</v>
      </c>
      <c r="E10" s="61">
        <f t="shared" ref="E10:E25" si="0">SUM(F10:Q10)</f>
        <v>29865009.200000085</v>
      </c>
      <c r="F10" s="46">
        <f>1283427.24+3111.97999999811</f>
        <v>1286539.2199999981</v>
      </c>
      <c r="G10" s="46">
        <f>2302644.44+6954.61000000312</f>
        <v>2309599.0500000031</v>
      </c>
      <c r="H10" s="46">
        <f>8779763.86999999+860419.159999955</f>
        <v>9640183.0299999453</v>
      </c>
      <c r="I10" s="46">
        <f>8566950.91999999 + 8405.65000014007</f>
        <v>8575356.5700001307</v>
      </c>
      <c r="J10" s="46">
        <v>8053331.3300000075</v>
      </c>
      <c r="P10" s="47"/>
      <c r="Q10" s="91"/>
      <c r="R10" s="47" t="s">
        <v>14</v>
      </c>
      <c r="S10" s="91">
        <v>29865009.200000085</v>
      </c>
      <c r="T10" s="91">
        <f t="shared" ref="T10:T24" si="1">S10-E10</f>
        <v>0</v>
      </c>
      <c r="U10" s="91">
        <v>8405.6500001400691</v>
      </c>
    </row>
    <row r="11" spans="1:21" x14ac:dyDescent="0.2">
      <c r="B11" s="46"/>
      <c r="D11" s="48" t="s">
        <v>15</v>
      </c>
      <c r="E11" s="61">
        <f t="shared" si="0"/>
        <v>6941140.2600000035</v>
      </c>
      <c r="F11" s="46">
        <v>1000347.9699999999</v>
      </c>
      <c r="G11" s="46">
        <f>1711023.41+10675.5099999997</f>
        <v>1721698.9199999997</v>
      </c>
      <c r="H11" s="46">
        <f>1341708.75+139164.970000003</f>
        <v>1480873.720000003</v>
      </c>
      <c r="I11" s="46">
        <f>1467314.59 + 8939.08000000193</f>
        <v>1476253.670000002</v>
      </c>
      <c r="J11" s="46">
        <v>1261965.9799999988</v>
      </c>
      <c r="P11" s="47"/>
      <c r="Q11" s="91"/>
      <c r="R11" s="47" t="s">
        <v>15</v>
      </c>
      <c r="S11" s="91">
        <v>6941140.2600000035</v>
      </c>
      <c r="T11" s="91">
        <f t="shared" si="1"/>
        <v>0</v>
      </c>
      <c r="U11" s="91">
        <v>8939.0800000019299</v>
      </c>
    </row>
    <row r="12" spans="1:21" x14ac:dyDescent="0.2">
      <c r="B12" s="46"/>
      <c r="D12" s="48" t="s">
        <v>16</v>
      </c>
      <c r="E12" s="61">
        <f t="shared" si="0"/>
        <v>117309.82999999999</v>
      </c>
      <c r="F12" s="46">
        <v>0</v>
      </c>
      <c r="G12" s="46">
        <v>28253.02</v>
      </c>
      <c r="H12" s="46">
        <v>73719.459999999977</v>
      </c>
      <c r="I12" s="46">
        <v>4048.19</v>
      </c>
      <c r="J12" s="46">
        <v>11289.16</v>
      </c>
      <c r="P12" s="47"/>
      <c r="Q12" s="91"/>
      <c r="R12" s="47" t="s">
        <v>16</v>
      </c>
      <c r="S12" s="91">
        <v>117309.82999999997</v>
      </c>
      <c r="T12" s="91">
        <f t="shared" si="1"/>
        <v>0</v>
      </c>
      <c r="U12" s="91">
        <v>0</v>
      </c>
    </row>
    <row r="13" spans="1:21" x14ac:dyDescent="0.2">
      <c r="B13" s="46"/>
      <c r="D13" s="48" t="s">
        <v>17</v>
      </c>
      <c r="E13" s="61">
        <f t="shared" si="0"/>
        <v>7305392.1700000037</v>
      </c>
      <c r="F13" s="46">
        <f>55256.13+653.070000000065</f>
        <v>55909.200000000063</v>
      </c>
      <c r="G13" s="46">
        <f>509047+1032.96999999741</f>
        <v>510079.96999999741</v>
      </c>
      <c r="H13" s="46">
        <f>2318810.75+21.620000006631</f>
        <v>2318832.3700000066</v>
      </c>
      <c r="I13" s="46">
        <f>2527780.92 + 30575.8400000007</f>
        <v>2558356.7600000007</v>
      </c>
      <c r="J13" s="46">
        <v>1862213.8699999996</v>
      </c>
      <c r="P13" s="47"/>
      <c r="Q13" s="91"/>
      <c r="R13" s="47" t="s">
        <v>17</v>
      </c>
      <c r="S13" s="91">
        <v>7305392.1700000027</v>
      </c>
      <c r="T13" s="91">
        <f t="shared" si="1"/>
        <v>0</v>
      </c>
      <c r="U13" s="91">
        <v>30575.840000000699</v>
      </c>
    </row>
    <row r="14" spans="1:21" x14ac:dyDescent="0.2">
      <c r="B14" s="46"/>
      <c r="D14" s="48" t="s">
        <v>18</v>
      </c>
      <c r="E14" s="61">
        <f t="shared" si="0"/>
        <v>33350666.770000003</v>
      </c>
      <c r="F14" s="46">
        <v>1704486.6800000006</v>
      </c>
      <c r="G14" s="46">
        <f>1730248.18 + 18247.030000016</f>
        <v>1748495.210000016</v>
      </c>
      <c r="H14" s="46">
        <f>24478885.21+17608.8299999944</f>
        <v>24496494.039999995</v>
      </c>
      <c r="I14" s="46">
        <f>2678146.53 + 20846.2499999888</f>
        <v>2698992.7799999886</v>
      </c>
      <c r="J14" s="46">
        <v>2702198.0600000015</v>
      </c>
      <c r="P14" s="47"/>
      <c r="Q14" s="91"/>
      <c r="R14" s="47" t="s">
        <v>18</v>
      </c>
      <c r="S14" s="91">
        <v>33350666.770000003</v>
      </c>
      <c r="T14" s="91">
        <f t="shared" si="1"/>
        <v>0</v>
      </c>
      <c r="U14" s="91">
        <v>20846.249999988799</v>
      </c>
    </row>
    <row r="15" spans="1:21" x14ac:dyDescent="0.2">
      <c r="A15" s="62" t="s">
        <v>52</v>
      </c>
      <c r="B15" s="122">
        <f>B6-C6</f>
        <v>1074350142.6099906</v>
      </c>
      <c r="C15" s="63">
        <f>B15/$B$6</f>
        <v>0.64865727289074115</v>
      </c>
      <c r="D15" s="48" t="s">
        <v>19</v>
      </c>
      <c r="E15" s="61">
        <f t="shared" si="0"/>
        <v>34772602.409999982</v>
      </c>
      <c r="F15" s="46">
        <f>3144697.83+598.250000014901</f>
        <v>3145296.080000015</v>
      </c>
      <c r="G15" s="46">
        <v>7269250.2399999909</v>
      </c>
      <c r="H15" s="46">
        <f>8870625.48+426819.029999971</f>
        <v>9297444.5099999718</v>
      </c>
      <c r="I15" s="46">
        <v>7746220.5399999972</v>
      </c>
      <c r="J15" s="46">
        <v>7314391.0400000038</v>
      </c>
      <c r="P15" s="47"/>
      <c r="Q15" s="91"/>
      <c r="R15" s="47" t="s">
        <v>19</v>
      </c>
      <c r="S15" s="91">
        <v>34772602.410000011</v>
      </c>
      <c r="T15" s="91">
        <f t="shared" si="1"/>
        <v>0</v>
      </c>
      <c r="U15" s="91">
        <v>0</v>
      </c>
    </row>
    <row r="16" spans="1:21" x14ac:dyDescent="0.2">
      <c r="A16" s="62" t="s">
        <v>53</v>
      </c>
      <c r="B16" s="122">
        <f>C6</f>
        <v>581917639.32999933</v>
      </c>
      <c r="C16" s="63">
        <f>B16/$B$6</f>
        <v>0.3513427271092589</v>
      </c>
      <c r="D16" s="48" t="s">
        <v>20</v>
      </c>
      <c r="E16" s="61">
        <f t="shared" si="0"/>
        <v>7776555.6500000004</v>
      </c>
      <c r="F16" s="46">
        <f>1007407.09+48067.7599999997</f>
        <v>1055474.8499999996</v>
      </c>
      <c r="G16" s="46">
        <f>1416812.52 + 9897.63999999873</f>
        <v>1426710.1599999988</v>
      </c>
      <c r="H16" s="46">
        <f>1685580.79+4732.01999999955</f>
        <v>1690312.8099999996</v>
      </c>
      <c r="I16" s="46">
        <f>1391325.32 + 632571.270000002</f>
        <v>2023896.5900000022</v>
      </c>
      <c r="J16" s="46">
        <v>1580161.24</v>
      </c>
      <c r="P16" s="47"/>
      <c r="Q16" s="91"/>
      <c r="R16" s="47" t="s">
        <v>20</v>
      </c>
      <c r="S16" s="91">
        <v>7776555.6500000004</v>
      </c>
      <c r="T16" s="91">
        <f t="shared" si="1"/>
        <v>0</v>
      </c>
      <c r="U16" s="91">
        <v>632571.270000002</v>
      </c>
    </row>
    <row r="17" spans="1:21" x14ac:dyDescent="0.2">
      <c r="A17" s="48"/>
      <c r="B17" s="45"/>
      <c r="C17" s="48"/>
      <c r="D17" s="64" t="s">
        <v>54</v>
      </c>
      <c r="E17" s="61">
        <f t="shared" si="0"/>
        <v>81340203.929999992</v>
      </c>
      <c r="F17" s="46">
        <v>15019325.579999993</v>
      </c>
      <c r="G17" s="46">
        <f>17568073.75-1456414.23999995</f>
        <v>16111659.51000005</v>
      </c>
      <c r="H17" s="46">
        <f>17798065.85+102513.349999942</f>
        <v>17900579.199999943</v>
      </c>
      <c r="I17" s="46">
        <v>18101888.420000002</v>
      </c>
      <c r="J17" s="46">
        <v>14206751.22000001</v>
      </c>
      <c r="P17" s="47"/>
      <c r="Q17" s="91"/>
      <c r="R17" s="47" t="s">
        <v>70</v>
      </c>
      <c r="S17" s="91">
        <v>81340203.929999992</v>
      </c>
      <c r="T17" s="91">
        <f t="shared" si="1"/>
        <v>0</v>
      </c>
      <c r="U17" s="91">
        <v>0</v>
      </c>
    </row>
    <row r="18" spans="1:21" x14ac:dyDescent="0.2">
      <c r="A18" s="48"/>
      <c r="B18" s="45"/>
      <c r="C18" s="48"/>
      <c r="D18" s="64" t="s">
        <v>76</v>
      </c>
      <c r="E18" s="61">
        <f t="shared" si="0"/>
        <v>426968.69999999995</v>
      </c>
      <c r="F18" s="46">
        <v>0</v>
      </c>
      <c r="G18" s="46">
        <v>0</v>
      </c>
      <c r="H18" s="46">
        <v>46224.369999999995</v>
      </c>
      <c r="I18" s="46">
        <v>178270.95</v>
      </c>
      <c r="J18" s="46">
        <v>202473.37999999998</v>
      </c>
      <c r="P18" s="47"/>
      <c r="Q18" s="91"/>
      <c r="R18" s="64" t="s">
        <v>76</v>
      </c>
      <c r="S18" s="91">
        <v>426968.69999999995</v>
      </c>
      <c r="T18" s="91">
        <f t="shared" si="1"/>
        <v>0</v>
      </c>
      <c r="U18" s="91">
        <v>0</v>
      </c>
    </row>
    <row r="19" spans="1:21" x14ac:dyDescent="0.2">
      <c r="B19" s="65"/>
      <c r="C19" s="48"/>
      <c r="D19" s="48" t="s">
        <v>21</v>
      </c>
      <c r="E19" s="61">
        <f t="shared" si="0"/>
        <v>26398406.300000004</v>
      </c>
      <c r="F19" s="46">
        <f>1827046.3+2789.88000000035</f>
        <v>1829836.1800000004</v>
      </c>
      <c r="G19" s="46">
        <f>2088729.79 + 10196.6700000017</f>
        <v>2098926.4600000018</v>
      </c>
      <c r="H19" s="46">
        <f>8164644.1+413957.259999998</f>
        <v>8578601.3599999975</v>
      </c>
      <c r="I19" s="46">
        <v>7283484.0200000014</v>
      </c>
      <c r="J19" s="46">
        <v>6607558.2800000012</v>
      </c>
      <c r="P19" s="47"/>
      <c r="Q19" s="91"/>
      <c r="R19" s="47" t="s">
        <v>21</v>
      </c>
      <c r="S19" s="91">
        <v>26398406.300000004</v>
      </c>
      <c r="T19" s="91">
        <f t="shared" si="1"/>
        <v>0</v>
      </c>
      <c r="U19" s="91">
        <v>0</v>
      </c>
    </row>
    <row r="20" spans="1:21" x14ac:dyDescent="0.2">
      <c r="A20" s="48"/>
      <c r="B20" s="45"/>
      <c r="C20" s="48"/>
      <c r="D20" s="48" t="s">
        <v>22</v>
      </c>
      <c r="E20" s="61">
        <f t="shared" si="0"/>
        <v>23738136.519999996</v>
      </c>
      <c r="F20" s="46">
        <f>3201445.58+2958.96000000182</f>
        <v>3204404.5400000019</v>
      </c>
      <c r="G20" s="46">
        <f>4881252.26 + 369.260000001639</f>
        <v>4881621.5200000014</v>
      </c>
      <c r="H20" s="46">
        <f>5117136.78-4487.47000000625</f>
        <v>5112649.309999994</v>
      </c>
      <c r="I20" s="46">
        <v>4849246.9799999995</v>
      </c>
      <c r="J20" s="46">
        <v>5690214.1699999999</v>
      </c>
      <c r="P20" s="47"/>
      <c r="Q20" s="91"/>
      <c r="R20" s="47" t="s">
        <v>22</v>
      </c>
      <c r="S20" s="91">
        <v>23738136.519999996</v>
      </c>
      <c r="T20" s="91">
        <f t="shared" si="1"/>
        <v>0</v>
      </c>
      <c r="U20" s="91">
        <v>0</v>
      </c>
    </row>
    <row r="21" spans="1:21" x14ac:dyDescent="0.2">
      <c r="A21" s="48"/>
      <c r="B21" s="45"/>
      <c r="C21" s="48"/>
      <c r="D21" s="48" t="s">
        <v>23</v>
      </c>
      <c r="E21" s="61">
        <f t="shared" si="0"/>
        <v>804317.31</v>
      </c>
      <c r="F21" s="46">
        <v>37262.15</v>
      </c>
      <c r="G21" s="46">
        <v>85864.19</v>
      </c>
      <c r="H21" s="46">
        <v>246719.28</v>
      </c>
      <c r="I21" s="46">
        <v>228390.53</v>
      </c>
      <c r="J21" s="46">
        <v>206081.16</v>
      </c>
      <c r="P21" s="47"/>
      <c r="Q21" s="91"/>
      <c r="R21" s="47" t="s">
        <v>23</v>
      </c>
      <c r="S21" s="91">
        <v>804317.31</v>
      </c>
      <c r="T21" s="91">
        <f t="shared" si="1"/>
        <v>0</v>
      </c>
      <c r="U21" s="91">
        <v>0</v>
      </c>
    </row>
    <row r="22" spans="1:21" x14ac:dyDescent="0.2">
      <c r="A22" s="48"/>
      <c r="B22" s="45"/>
      <c r="C22" s="48"/>
      <c r="D22" s="48" t="s">
        <v>29</v>
      </c>
      <c r="E22" s="61">
        <f t="shared" si="0"/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P22" s="47"/>
      <c r="Q22" s="91"/>
      <c r="R22" s="47" t="s">
        <v>29</v>
      </c>
      <c r="S22" s="91">
        <v>0</v>
      </c>
      <c r="T22" s="91">
        <f t="shared" si="1"/>
        <v>0</v>
      </c>
      <c r="U22" s="91">
        <v>0</v>
      </c>
    </row>
    <row r="23" spans="1:21" x14ac:dyDescent="0.2">
      <c r="A23" s="48"/>
      <c r="B23" s="45"/>
      <c r="C23" s="48"/>
      <c r="D23" s="48" t="s">
        <v>30</v>
      </c>
      <c r="E23" s="61">
        <f t="shared" si="0"/>
        <v>329875.94</v>
      </c>
      <c r="F23" s="46">
        <v>0</v>
      </c>
      <c r="G23" s="46">
        <v>15736.230000000001</v>
      </c>
      <c r="H23" s="46">
        <v>110541.05999999998</v>
      </c>
      <c r="I23" s="46">
        <v>108750.57</v>
      </c>
      <c r="J23" s="46">
        <v>94848.08</v>
      </c>
      <c r="P23" s="47"/>
      <c r="Q23" s="91"/>
      <c r="R23" s="47" t="s">
        <v>30</v>
      </c>
      <c r="S23" s="91">
        <v>329875.94</v>
      </c>
      <c r="T23" s="91">
        <f t="shared" si="1"/>
        <v>0</v>
      </c>
      <c r="U23" s="91">
        <v>0</v>
      </c>
    </row>
    <row r="24" spans="1:21" x14ac:dyDescent="0.2">
      <c r="A24" s="48"/>
      <c r="B24" s="45"/>
      <c r="C24" s="48"/>
      <c r="D24" s="48" t="s">
        <v>25</v>
      </c>
      <c r="E24" s="61">
        <f t="shared" si="0"/>
        <v>42500000</v>
      </c>
      <c r="F24" s="46">
        <v>21000000</v>
      </c>
      <c r="G24" s="46">
        <v>0</v>
      </c>
      <c r="H24" s="46">
        <v>0</v>
      </c>
      <c r="I24" s="46">
        <v>0</v>
      </c>
      <c r="J24" s="46">
        <v>21500000</v>
      </c>
      <c r="P24" s="47"/>
      <c r="Q24" s="91"/>
      <c r="R24" s="47" t="s">
        <v>25</v>
      </c>
      <c r="S24" s="91">
        <v>42500000</v>
      </c>
      <c r="T24" s="91">
        <f t="shared" si="1"/>
        <v>0</v>
      </c>
      <c r="U24" s="91">
        <v>0</v>
      </c>
    </row>
    <row r="25" spans="1:21" ht="13.5" thickBot="1" x14ac:dyDescent="0.25">
      <c r="A25" s="48"/>
      <c r="B25" s="45"/>
      <c r="C25" s="48"/>
      <c r="D25" s="47" t="s">
        <v>24</v>
      </c>
      <c r="E25" s="61">
        <f t="shared" si="0"/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P25" s="47"/>
      <c r="Q25" s="91"/>
      <c r="R25" s="47" t="s">
        <v>24</v>
      </c>
      <c r="S25" s="91">
        <v>0</v>
      </c>
      <c r="T25" s="91">
        <f t="shared" ref="T25" si="2">S25-E25</f>
        <v>0</v>
      </c>
      <c r="U25" s="91">
        <v>0</v>
      </c>
    </row>
    <row r="26" spans="1:21" ht="13.5" thickBot="1" x14ac:dyDescent="0.25">
      <c r="A26" s="48"/>
      <c r="B26" s="45"/>
      <c r="C26" s="48"/>
      <c r="D26" s="66" t="s">
        <v>55</v>
      </c>
      <c r="E26" s="67">
        <f>SUM(E9:E24)</f>
        <v>581917639.32999909</v>
      </c>
      <c r="F26" s="68">
        <f>SUM(F9:F25)</f>
        <v>58777482.709999993</v>
      </c>
      <c r="G26" s="68">
        <f>SUM(G9:G25)</f>
        <v>51262941.400000505</v>
      </c>
      <c r="H26" s="68">
        <f>SUM(H9:H25)</f>
        <v>176971527.07000005</v>
      </c>
      <c r="I26" s="68">
        <f>SUM(I9:I25)</f>
        <v>150991894.0799987</v>
      </c>
      <c r="J26" s="68">
        <f>SUM(J9:J25)</f>
        <v>143913794.06999987</v>
      </c>
      <c r="K26" s="68">
        <f>SUM(K9:K24)</f>
        <v>0</v>
      </c>
      <c r="L26" s="68">
        <f>SUM(L9:L24)</f>
        <v>0</v>
      </c>
      <c r="M26" s="68">
        <f>SUM(M9:M24)</f>
        <v>0</v>
      </c>
      <c r="N26" s="68">
        <f>SUM(N9:N24)</f>
        <v>0</v>
      </c>
      <c r="O26" s="68">
        <f>SUM(O9:O24)</f>
        <v>0</v>
      </c>
      <c r="P26" s="68">
        <f>SUM(P9:P24)</f>
        <v>0</v>
      </c>
      <c r="Q26" s="68">
        <f>SUM(Q9:Q24)</f>
        <v>0</v>
      </c>
      <c r="S26" s="119">
        <f>SUM(S9:S24)</f>
        <v>581917639.32999921</v>
      </c>
      <c r="T26" s="119">
        <f>SUM(T9:T24)</f>
        <v>0</v>
      </c>
      <c r="U26" s="119">
        <f>SUM(U9:U24)</f>
        <v>11912299.749998432</v>
      </c>
    </row>
    <row r="27" spans="1:21" x14ac:dyDescent="0.2">
      <c r="A27" s="48"/>
      <c r="B27" s="45"/>
      <c r="C27" s="48"/>
      <c r="D27" s="48"/>
      <c r="E27" s="48"/>
      <c r="F27" s="45"/>
      <c r="G27" s="45"/>
    </row>
    <row r="28" spans="1:21" ht="29.25" customHeight="1" x14ac:dyDescent="0.2">
      <c r="A28" s="11"/>
      <c r="B28" s="161" t="s">
        <v>82</v>
      </c>
      <c r="C28" s="161"/>
      <c r="D28" s="161"/>
      <c r="E28" s="161"/>
      <c r="F28" s="161"/>
      <c r="G28" s="69"/>
    </row>
    <row r="29" spans="1:21" x14ac:dyDescent="0.2">
      <c r="A29" s="48"/>
      <c r="B29" s="45"/>
      <c r="C29" s="48"/>
      <c r="D29" s="48"/>
      <c r="E29" s="124"/>
      <c r="F29" s="45"/>
      <c r="G29" s="45"/>
    </row>
    <row r="30" spans="1:21" ht="29.25" customHeight="1" x14ac:dyDescent="0.2">
      <c r="B30" s="161" t="str">
        <f>"GENERAL OPERATIONS" &amp; " YTD EXPENSES"&amp;CHAR(10)&amp;TEXT(C6,"$#,##0")</f>
        <v>GENERAL OPERATIONS YTD EXPENSES
$581,917,639</v>
      </c>
      <c r="C30" s="161"/>
      <c r="D30" s="161"/>
      <c r="E30" s="161"/>
      <c r="F30" s="161"/>
      <c r="G30" s="69"/>
      <c r="H30" s="123" t="s">
        <v>83</v>
      </c>
    </row>
    <row r="31" spans="1:21" x14ac:dyDescent="0.2">
      <c r="A31" s="48"/>
      <c r="B31" s="45"/>
      <c r="C31" s="48"/>
      <c r="D31" s="48"/>
      <c r="E31" s="48"/>
      <c r="F31" s="45"/>
      <c r="G31" s="45"/>
    </row>
    <row r="32" spans="1:21" x14ac:dyDescent="0.2">
      <c r="A32" s="48"/>
      <c r="B32" s="45"/>
      <c r="C32" s="48"/>
      <c r="D32" s="48"/>
      <c r="E32" s="48"/>
      <c r="F32" s="45"/>
      <c r="G32" s="45"/>
    </row>
    <row r="33" spans="1:104" x14ac:dyDescent="0.2">
      <c r="A33" s="48"/>
      <c r="B33" s="45"/>
      <c r="C33" s="48"/>
      <c r="D33" s="48"/>
      <c r="E33" s="45"/>
      <c r="F33" s="45"/>
      <c r="G33" s="45"/>
    </row>
    <row r="34" spans="1:104" x14ac:dyDescent="0.2">
      <c r="A34" s="70"/>
      <c r="B34" s="71"/>
      <c r="C34" s="70"/>
      <c r="D34" s="70"/>
      <c r="E34" s="70"/>
      <c r="F34" s="71"/>
      <c r="G34" s="71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3"/>
    </row>
    <row r="35" spans="1:104" x14ac:dyDescent="0.2">
      <c r="A35" s="48"/>
      <c r="B35" s="45"/>
      <c r="C35" s="48"/>
      <c r="D35" s="48"/>
      <c r="E35" s="48"/>
      <c r="F35" s="45"/>
      <c r="G35" s="45"/>
    </row>
    <row r="36" spans="1:104" x14ac:dyDescent="0.2">
      <c r="A36" s="48"/>
      <c r="B36" s="45"/>
      <c r="C36" s="48"/>
      <c r="D36" s="48"/>
      <c r="E36" s="48"/>
      <c r="F36" s="45"/>
      <c r="G36" s="45"/>
    </row>
    <row r="37" spans="1:104" ht="13.5" thickBot="1" x14ac:dyDescent="0.25"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1:104" ht="13.5" thickBot="1" x14ac:dyDescent="0.25">
      <c r="A38" s="162" t="s">
        <v>56</v>
      </c>
      <c r="B38" s="163"/>
      <c r="C38" s="163"/>
      <c r="D38" s="163"/>
      <c r="E38" s="163"/>
      <c r="F38" s="164"/>
      <c r="G38" s="48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1:104" ht="13.5" thickBot="1" x14ac:dyDescent="0.25">
      <c r="B39" s="46"/>
      <c r="D39" s="48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1:104" ht="26.25" thickBot="1" x14ac:dyDescent="0.25">
      <c r="B40" s="74" t="s">
        <v>57</v>
      </c>
      <c r="C40" s="75" t="s">
        <v>58</v>
      </c>
      <c r="D40" s="76" t="s">
        <v>59</v>
      </c>
      <c r="E40" s="77" t="s">
        <v>40</v>
      </c>
      <c r="F40" s="78" t="s">
        <v>41</v>
      </c>
      <c r="G40" s="78" t="s">
        <v>42</v>
      </c>
      <c r="H40" s="78" t="s">
        <v>43</v>
      </c>
      <c r="I40" s="78" t="s">
        <v>44</v>
      </c>
      <c r="J40" s="78" t="s">
        <v>45</v>
      </c>
      <c r="K40" s="78" t="s">
        <v>46</v>
      </c>
      <c r="L40" s="78" t="s">
        <v>47</v>
      </c>
      <c r="M40" s="78" t="s">
        <v>48</v>
      </c>
      <c r="N40" s="78" t="s">
        <v>49</v>
      </c>
      <c r="O40" s="78" t="s">
        <v>50</v>
      </c>
      <c r="P40" s="79" t="s">
        <v>51</v>
      </c>
      <c r="Q40" s="47"/>
      <c r="R40" s="80"/>
    </row>
    <row r="41" spans="1:104" s="80" customFormat="1" ht="14.25" x14ac:dyDescent="0.2">
      <c r="A41" s="80" t="s">
        <v>8</v>
      </c>
      <c r="B41" s="141">
        <v>970273398</v>
      </c>
      <c r="C41" s="81">
        <f>SUM(E41:P41)</f>
        <v>824487322.13</v>
      </c>
      <c r="D41" s="82">
        <f t="shared" ref="D41:D46" si="3">C41/B41</f>
        <v>0.84974742565290862</v>
      </c>
      <c r="E41" s="126">
        <v>0</v>
      </c>
      <c r="F41" s="126">
        <f>18226313.12-8472.37999999523</f>
        <v>18217840.740000006</v>
      </c>
      <c r="G41" s="126">
        <f>130717882.49+13313.5699999332</f>
        <v>130731196.05999993</v>
      </c>
      <c r="H41" s="126">
        <v>380254304.59000009</v>
      </c>
      <c r="I41" s="126">
        <v>295283980.74000001</v>
      </c>
      <c r="J41" s="126"/>
      <c r="K41" s="126"/>
      <c r="L41" s="126"/>
      <c r="M41" s="126"/>
      <c r="N41" s="126"/>
      <c r="O41" s="126"/>
      <c r="P41" s="126"/>
      <c r="R41" s="80" t="s">
        <v>8</v>
      </c>
      <c r="S41" s="125">
        <v>824487322.13</v>
      </c>
      <c r="T41" s="125">
        <f>S41 - C41</f>
        <v>0</v>
      </c>
      <c r="U41" s="91">
        <v>0</v>
      </c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</row>
    <row r="42" spans="1:104" s="80" customFormat="1" ht="14.25" x14ac:dyDescent="0.2">
      <c r="A42" s="80" t="s">
        <v>9</v>
      </c>
      <c r="B42" s="142">
        <v>15000000</v>
      </c>
      <c r="C42" s="83">
        <f>SUM(E42:P42)</f>
        <v>6549863.8400000008</v>
      </c>
      <c r="D42" s="84">
        <f t="shared" si="3"/>
        <v>0.43665758933333337</v>
      </c>
      <c r="E42" s="127">
        <v>2000986.86</v>
      </c>
      <c r="F42" s="127">
        <v>1742554.54</v>
      </c>
      <c r="G42" s="127">
        <v>1260011.31</v>
      </c>
      <c r="H42" s="127">
        <v>1546311.13</v>
      </c>
      <c r="I42" s="127">
        <v>0</v>
      </c>
      <c r="J42" s="127"/>
      <c r="K42" s="127"/>
      <c r="L42" s="127"/>
      <c r="M42" s="127"/>
      <c r="N42" s="127"/>
      <c r="O42" s="127"/>
      <c r="P42" s="127"/>
      <c r="R42" s="80" t="s">
        <v>9</v>
      </c>
      <c r="S42" s="137">
        <v>6549863.8399999999</v>
      </c>
      <c r="T42" s="125">
        <f>S42 - C42</f>
        <v>0</v>
      </c>
      <c r="U42" s="125">
        <v>0</v>
      </c>
    </row>
    <row r="43" spans="1:104" s="80" customFormat="1" ht="14.25" x14ac:dyDescent="0.2">
      <c r="A43" s="80" t="s">
        <v>10</v>
      </c>
      <c r="B43" s="142">
        <v>560327715</v>
      </c>
      <c r="C43" s="83">
        <f>SUM(E43:P43)</f>
        <v>168472062.39999998</v>
      </c>
      <c r="D43" s="84">
        <f t="shared" si="3"/>
        <v>0.30066701662258483</v>
      </c>
      <c r="E43" s="127">
        <v>7843261</v>
      </c>
      <c r="F43" s="127">
        <f>7509691 + 281966</f>
        <v>7791657</v>
      </c>
      <c r="G43" s="127">
        <f>46051372+7705727.19999997</f>
        <v>53757099.199999973</v>
      </c>
      <c r="H43" s="127">
        <v>53135794.200000003</v>
      </c>
      <c r="I43" s="127">
        <v>45944251</v>
      </c>
      <c r="J43" s="127"/>
      <c r="K43" s="127"/>
      <c r="L43" s="127"/>
      <c r="M43" s="127"/>
      <c r="N43" s="127"/>
      <c r="O43" s="127"/>
      <c r="P43" s="127"/>
      <c r="R43" s="80" t="s">
        <v>10</v>
      </c>
      <c r="S43" s="137">
        <v>168472062.39999998</v>
      </c>
      <c r="T43" s="125">
        <f>S43 - C43</f>
        <v>0</v>
      </c>
      <c r="U43" s="125">
        <v>0</v>
      </c>
    </row>
    <row r="44" spans="1:104" s="80" customFormat="1" ht="14.25" x14ac:dyDescent="0.2">
      <c r="A44" s="80" t="s">
        <v>74</v>
      </c>
      <c r="B44" s="142">
        <v>7075000</v>
      </c>
      <c r="C44" s="83">
        <f>SUM(E44:P44)</f>
        <v>0</v>
      </c>
      <c r="D44" s="84">
        <f>IF(B44=0,0,C44/B44)</f>
        <v>0</v>
      </c>
      <c r="E44" s="127">
        <v>0</v>
      </c>
      <c r="F44" s="127">
        <v>0</v>
      </c>
      <c r="G44" s="127">
        <v>0</v>
      </c>
      <c r="H44" s="127">
        <v>0</v>
      </c>
      <c r="I44" s="127">
        <v>0</v>
      </c>
      <c r="J44" s="127"/>
      <c r="K44" s="127"/>
      <c r="L44" s="127"/>
      <c r="M44" s="127"/>
      <c r="N44" s="127"/>
      <c r="O44" s="127"/>
      <c r="P44" s="127"/>
      <c r="R44" s="80" t="s">
        <v>74</v>
      </c>
      <c r="S44" s="137">
        <v>0</v>
      </c>
      <c r="T44" s="125">
        <f>S44 - C44</f>
        <v>0</v>
      </c>
      <c r="U44" s="125">
        <v>0</v>
      </c>
    </row>
    <row r="45" spans="1:104" s="80" customFormat="1" ht="15" thickBot="1" x14ac:dyDescent="0.25">
      <c r="A45" s="80" t="s">
        <v>11</v>
      </c>
      <c r="B45" s="143">
        <v>0</v>
      </c>
      <c r="C45" s="83">
        <f>SUM(E45:P45)</f>
        <v>109545.11</v>
      </c>
      <c r="D45" s="84">
        <f>IF(B45=0,0,C45/B45)</f>
        <v>0</v>
      </c>
      <c r="E45" s="128">
        <v>0</v>
      </c>
      <c r="F45" s="128">
        <v>0</v>
      </c>
      <c r="G45" s="128">
        <v>99028.23</v>
      </c>
      <c r="H45" s="128">
        <v>0</v>
      </c>
      <c r="I45" s="128">
        <v>10516.88</v>
      </c>
      <c r="J45" s="128"/>
      <c r="K45" s="128"/>
      <c r="L45" s="128"/>
      <c r="M45" s="128"/>
      <c r="N45" s="128"/>
      <c r="O45" s="128"/>
      <c r="P45" s="128"/>
      <c r="R45" s="80" t="s">
        <v>11</v>
      </c>
      <c r="S45" s="137">
        <v>109545.11</v>
      </c>
      <c r="T45" s="125">
        <f>S45 - C45</f>
        <v>0</v>
      </c>
      <c r="U45" s="125">
        <v>0</v>
      </c>
    </row>
    <row r="46" spans="1:104" s="85" customFormat="1" ht="12.75" customHeight="1" thickBot="1" x14ac:dyDescent="0.25">
      <c r="B46" s="86">
        <f>SUM(B41:B45)</f>
        <v>1552676113</v>
      </c>
      <c r="C46" s="87">
        <f>SUM(C41:C45)</f>
        <v>999618793.48000002</v>
      </c>
      <c r="D46" s="88">
        <f t="shared" si="3"/>
        <v>0.64380380757490274</v>
      </c>
      <c r="E46" s="89">
        <f>SUM(E41:E45)</f>
        <v>9844247.8599999994</v>
      </c>
      <c r="F46" s="90">
        <f t="shared" ref="F46:P46" si="4">SUM(F41:F45)</f>
        <v>27752052.280000005</v>
      </c>
      <c r="G46" s="90">
        <f t="shared" si="4"/>
        <v>185847334.79999989</v>
      </c>
      <c r="H46" s="90">
        <f t="shared" si="4"/>
        <v>434936409.92000008</v>
      </c>
      <c r="I46" s="90">
        <f t="shared" si="4"/>
        <v>341238748.62</v>
      </c>
      <c r="J46" s="90">
        <f t="shared" si="4"/>
        <v>0</v>
      </c>
      <c r="K46" s="90">
        <f t="shared" si="4"/>
        <v>0</v>
      </c>
      <c r="L46" s="90">
        <f t="shared" si="4"/>
        <v>0</v>
      </c>
      <c r="M46" s="90">
        <f t="shared" si="4"/>
        <v>0</v>
      </c>
      <c r="N46" s="90">
        <f t="shared" si="4"/>
        <v>0</v>
      </c>
      <c r="O46" s="90">
        <f t="shared" si="4"/>
        <v>0</v>
      </c>
      <c r="P46" s="90">
        <f t="shared" si="4"/>
        <v>0</v>
      </c>
      <c r="Q46" s="47"/>
      <c r="R46" s="46"/>
      <c r="S46" s="137"/>
      <c r="T46" s="125"/>
      <c r="U46" s="125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80"/>
      <c r="CC46" s="80"/>
      <c r="CD46" s="80"/>
      <c r="CE46" s="80"/>
      <c r="CF46" s="80"/>
      <c r="CG46" s="80"/>
      <c r="CH46" s="80"/>
      <c r="CI46" s="80"/>
      <c r="CJ46" s="80"/>
      <c r="CK46" s="80"/>
      <c r="CL46" s="80"/>
      <c r="CM46" s="80"/>
      <c r="CN46" s="80"/>
      <c r="CO46" s="80"/>
      <c r="CP46" s="80"/>
      <c r="CQ46" s="80"/>
      <c r="CR46" s="80"/>
      <c r="CS46" s="80"/>
      <c r="CT46" s="80"/>
      <c r="CU46" s="80"/>
      <c r="CV46" s="80"/>
      <c r="CW46" s="80"/>
      <c r="CX46" s="80"/>
      <c r="CY46" s="80"/>
      <c r="CZ46" s="80"/>
    </row>
    <row r="47" spans="1:104" ht="13.5" thickBot="1" x14ac:dyDescent="0.25">
      <c r="B47" s="46"/>
      <c r="C47" s="91"/>
      <c r="E47" s="46"/>
      <c r="L47" s="47"/>
      <c r="M47" s="47"/>
      <c r="N47" s="47"/>
      <c r="O47" s="47"/>
      <c r="P47" s="47"/>
      <c r="Q47" s="47"/>
      <c r="U47" s="139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</row>
    <row r="48" spans="1:104" s="85" customFormat="1" ht="12.75" customHeight="1" x14ac:dyDescent="0.2">
      <c r="A48" s="92" t="s">
        <v>60</v>
      </c>
      <c r="B48" s="93">
        <f>+B41+B42+B45+B44</f>
        <v>992348398</v>
      </c>
      <c r="C48" s="81">
        <f>+C41+C42+C44+C45</f>
        <v>831146731.08000004</v>
      </c>
      <c r="D48" s="94">
        <f>C48/B48</f>
        <v>0.83755537143518421</v>
      </c>
      <c r="E48" s="95">
        <f>+E41+E42+E44+E45</f>
        <v>2000986.86</v>
      </c>
      <c r="F48" s="95">
        <f t="shared" ref="F48:P48" si="5">+F41+F42+F44+F45</f>
        <v>19960395.280000005</v>
      </c>
      <c r="G48" s="95">
        <f t="shared" si="5"/>
        <v>132090235.59999993</v>
      </c>
      <c r="H48" s="95">
        <f t="shared" si="5"/>
        <v>381800615.72000009</v>
      </c>
      <c r="I48" s="95">
        <f t="shared" si="5"/>
        <v>295294497.62</v>
      </c>
      <c r="J48" s="95">
        <f t="shared" si="5"/>
        <v>0</v>
      </c>
      <c r="K48" s="95">
        <f t="shared" si="5"/>
        <v>0</v>
      </c>
      <c r="L48" s="95">
        <f t="shared" si="5"/>
        <v>0</v>
      </c>
      <c r="M48" s="95">
        <f t="shared" si="5"/>
        <v>0</v>
      </c>
      <c r="N48" s="95">
        <f t="shared" si="5"/>
        <v>0</v>
      </c>
      <c r="O48" s="95">
        <f t="shared" si="5"/>
        <v>0</v>
      </c>
      <c r="P48" s="95">
        <f t="shared" si="5"/>
        <v>0</v>
      </c>
      <c r="Q48" s="47"/>
      <c r="R48" s="47"/>
      <c r="S48" s="91"/>
      <c r="T48" s="91"/>
      <c r="U48" s="91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</row>
    <row r="49" spans="1:104" s="85" customFormat="1" ht="12.75" customHeight="1" thickBot="1" x14ac:dyDescent="0.25">
      <c r="A49" s="92" t="s">
        <v>61</v>
      </c>
      <c r="B49" s="96">
        <f>B43</f>
        <v>560327715</v>
      </c>
      <c r="C49" s="97">
        <f>C43</f>
        <v>168472062.39999998</v>
      </c>
      <c r="D49" s="98">
        <f>C49/B49</f>
        <v>0.30066701662258483</v>
      </c>
      <c r="E49" s="99">
        <f>E43</f>
        <v>7843261</v>
      </c>
      <c r="F49" s="99">
        <f t="shared" ref="F49:P49" si="6">F43</f>
        <v>7791657</v>
      </c>
      <c r="G49" s="99">
        <f t="shared" si="6"/>
        <v>53757099.199999973</v>
      </c>
      <c r="H49" s="99">
        <f t="shared" si="6"/>
        <v>53135794.200000003</v>
      </c>
      <c r="I49" s="99">
        <f t="shared" si="6"/>
        <v>45944251</v>
      </c>
      <c r="J49" s="99">
        <f t="shared" si="6"/>
        <v>0</v>
      </c>
      <c r="K49" s="99">
        <f t="shared" si="6"/>
        <v>0</v>
      </c>
      <c r="L49" s="99">
        <f t="shared" si="6"/>
        <v>0</v>
      </c>
      <c r="M49" s="99">
        <f t="shared" si="6"/>
        <v>0</v>
      </c>
      <c r="N49" s="99">
        <f t="shared" si="6"/>
        <v>0</v>
      </c>
      <c r="O49" s="99">
        <f t="shared" si="6"/>
        <v>0</v>
      </c>
      <c r="P49" s="99">
        <f t="shared" si="6"/>
        <v>0</v>
      </c>
      <c r="Q49" s="47"/>
      <c r="R49" s="47"/>
      <c r="S49" s="91"/>
      <c r="T49" s="91"/>
      <c r="U49" s="139"/>
    </row>
    <row r="50" spans="1:104" s="85" customFormat="1" ht="12.75" customHeight="1" thickBot="1" x14ac:dyDescent="0.25">
      <c r="B50" s="86">
        <f>SUM(B48:B49)</f>
        <v>1552676113</v>
      </c>
      <c r="C50" s="100">
        <f>SUM(C48:C49)</f>
        <v>999618793.48000002</v>
      </c>
      <c r="D50" s="101">
        <f>C50/B50</f>
        <v>0.64380380757490274</v>
      </c>
      <c r="E50" s="102">
        <f>+E48+E49</f>
        <v>9844247.8599999994</v>
      </c>
      <c r="F50" s="103">
        <f t="shared" ref="F50:P50" si="7">+F48+F49</f>
        <v>27752052.280000005</v>
      </c>
      <c r="G50" s="103">
        <f t="shared" si="7"/>
        <v>185847334.79999989</v>
      </c>
      <c r="H50" s="103">
        <f t="shared" si="7"/>
        <v>434936409.92000008</v>
      </c>
      <c r="I50" s="103">
        <f t="shared" si="7"/>
        <v>341238748.62</v>
      </c>
      <c r="J50" s="103">
        <f t="shared" si="7"/>
        <v>0</v>
      </c>
      <c r="K50" s="103">
        <f t="shared" si="7"/>
        <v>0</v>
      </c>
      <c r="L50" s="103">
        <f t="shared" si="7"/>
        <v>0</v>
      </c>
      <c r="M50" s="103">
        <f t="shared" si="7"/>
        <v>0</v>
      </c>
      <c r="N50" s="103">
        <f t="shared" si="7"/>
        <v>0</v>
      </c>
      <c r="O50" s="103">
        <f t="shared" si="7"/>
        <v>0</v>
      </c>
      <c r="P50" s="104">
        <f t="shared" si="7"/>
        <v>0</v>
      </c>
      <c r="Q50" s="47"/>
      <c r="R50" s="47"/>
      <c r="S50" s="91"/>
      <c r="T50" s="91"/>
      <c r="U50" s="139"/>
    </row>
    <row r="51" spans="1:104" s="85" customFormat="1" ht="12.75" customHeight="1" thickBot="1" x14ac:dyDescent="0.25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91"/>
      <c r="T51" s="91"/>
      <c r="U51" s="139"/>
    </row>
    <row r="52" spans="1:104" s="85" customFormat="1" ht="12.75" customHeight="1" thickBot="1" x14ac:dyDescent="0.25">
      <c r="C52" s="154" t="s">
        <v>62</v>
      </c>
      <c r="D52" s="155"/>
      <c r="E52" s="105" t="s">
        <v>40</v>
      </c>
      <c r="F52" s="106" t="s">
        <v>41</v>
      </c>
      <c r="G52" s="106" t="s">
        <v>42</v>
      </c>
      <c r="H52" s="106" t="s">
        <v>43</v>
      </c>
      <c r="I52" s="106" t="s">
        <v>44</v>
      </c>
      <c r="J52" s="106" t="s">
        <v>45</v>
      </c>
      <c r="K52" s="106" t="s">
        <v>46</v>
      </c>
      <c r="L52" s="106" t="s">
        <v>47</v>
      </c>
      <c r="M52" s="106" t="s">
        <v>48</v>
      </c>
      <c r="N52" s="106" t="s">
        <v>49</v>
      </c>
      <c r="O52" s="106" t="s">
        <v>50</v>
      </c>
      <c r="P52" s="50" t="s">
        <v>51</v>
      </c>
      <c r="Q52" s="47"/>
      <c r="R52" s="47"/>
      <c r="S52" s="91"/>
      <c r="T52" s="91"/>
      <c r="U52" s="139"/>
    </row>
    <row r="53" spans="1:104" s="85" customFormat="1" ht="12.75" customHeight="1" x14ac:dyDescent="0.2">
      <c r="C53" s="107" t="s">
        <v>60</v>
      </c>
      <c r="D53" s="47"/>
      <c r="E53" s="46">
        <f>E48</f>
        <v>2000986.86</v>
      </c>
      <c r="F53" s="46">
        <f>E53+F48</f>
        <v>21961382.140000004</v>
      </c>
      <c r="G53" s="46">
        <f t="shared" ref="G53:P54" si="8">F53+G48</f>
        <v>154051617.73999995</v>
      </c>
      <c r="H53" s="46">
        <f t="shared" si="8"/>
        <v>535852233.46000004</v>
      </c>
      <c r="I53" s="46">
        <f t="shared" si="8"/>
        <v>831146731.08000004</v>
      </c>
      <c r="J53" s="46">
        <f t="shared" si="8"/>
        <v>831146731.08000004</v>
      </c>
      <c r="K53" s="46">
        <f t="shared" si="8"/>
        <v>831146731.08000004</v>
      </c>
      <c r="L53" s="46">
        <f t="shared" si="8"/>
        <v>831146731.08000004</v>
      </c>
      <c r="M53" s="46">
        <f t="shared" si="8"/>
        <v>831146731.08000004</v>
      </c>
      <c r="N53" s="46">
        <f t="shared" si="8"/>
        <v>831146731.08000004</v>
      </c>
      <c r="O53" s="46">
        <f t="shared" si="8"/>
        <v>831146731.08000004</v>
      </c>
      <c r="P53" s="46">
        <f t="shared" si="8"/>
        <v>831146731.08000004</v>
      </c>
      <c r="Q53" s="47"/>
      <c r="R53" s="47"/>
      <c r="S53" s="91"/>
      <c r="T53" s="91"/>
      <c r="U53" s="139"/>
    </row>
    <row r="54" spans="1:104" s="85" customFormat="1" ht="12.75" customHeight="1" thickBot="1" x14ac:dyDescent="0.25">
      <c r="C54" s="107" t="s">
        <v>61</v>
      </c>
      <c r="D54" s="47"/>
      <c r="E54" s="46">
        <f>E49</f>
        <v>7843261</v>
      </c>
      <c r="F54" s="46">
        <f>E54+F49</f>
        <v>15634918</v>
      </c>
      <c r="G54" s="46">
        <f t="shared" si="8"/>
        <v>69392017.199999973</v>
      </c>
      <c r="H54" s="46">
        <f t="shared" si="8"/>
        <v>122527811.39999998</v>
      </c>
      <c r="I54" s="46">
        <f t="shared" si="8"/>
        <v>168472062.39999998</v>
      </c>
      <c r="J54" s="46">
        <f t="shared" si="8"/>
        <v>168472062.39999998</v>
      </c>
      <c r="K54" s="46">
        <f t="shared" si="8"/>
        <v>168472062.39999998</v>
      </c>
      <c r="L54" s="46">
        <f t="shared" si="8"/>
        <v>168472062.39999998</v>
      </c>
      <c r="M54" s="46">
        <f t="shared" si="8"/>
        <v>168472062.39999998</v>
      </c>
      <c r="N54" s="46">
        <f t="shared" si="8"/>
        <v>168472062.39999998</v>
      </c>
      <c r="O54" s="46">
        <f t="shared" si="8"/>
        <v>168472062.39999998</v>
      </c>
      <c r="P54" s="46">
        <f t="shared" si="8"/>
        <v>168472062.39999998</v>
      </c>
      <c r="Q54" s="47"/>
      <c r="R54" s="47"/>
      <c r="S54" s="91"/>
      <c r="T54" s="91"/>
      <c r="U54" s="139"/>
    </row>
    <row r="55" spans="1:104" s="85" customFormat="1" ht="12.75" customHeight="1" thickBot="1" x14ac:dyDescent="0.25">
      <c r="C55" s="108" t="s">
        <v>63</v>
      </c>
      <c r="D55" s="47"/>
      <c r="E55" s="109">
        <f>+E53+E54</f>
        <v>9844247.8599999994</v>
      </c>
      <c r="F55" s="109">
        <f t="shared" ref="F55:P55" si="9">+F53+F54</f>
        <v>37596300.140000001</v>
      </c>
      <c r="G55" s="109">
        <f t="shared" si="9"/>
        <v>223443634.93999994</v>
      </c>
      <c r="H55" s="109">
        <f t="shared" si="9"/>
        <v>658380044.86000001</v>
      </c>
      <c r="I55" s="109">
        <f t="shared" si="9"/>
        <v>999618793.48000002</v>
      </c>
      <c r="J55" s="109">
        <f t="shared" si="9"/>
        <v>999618793.48000002</v>
      </c>
      <c r="K55" s="109">
        <f t="shared" si="9"/>
        <v>999618793.48000002</v>
      </c>
      <c r="L55" s="109">
        <f t="shared" si="9"/>
        <v>999618793.48000002</v>
      </c>
      <c r="M55" s="109">
        <f t="shared" si="9"/>
        <v>999618793.48000002</v>
      </c>
      <c r="N55" s="109">
        <f t="shared" si="9"/>
        <v>999618793.48000002</v>
      </c>
      <c r="O55" s="109">
        <f t="shared" si="9"/>
        <v>999618793.48000002</v>
      </c>
      <c r="P55" s="109">
        <f t="shared" si="9"/>
        <v>999618793.48000002</v>
      </c>
      <c r="Q55" s="47"/>
      <c r="R55" s="47"/>
      <c r="S55" s="91"/>
      <c r="T55" s="91"/>
      <c r="U55" s="139"/>
    </row>
    <row r="56" spans="1:104" s="85" customFormat="1" ht="12.75" customHeight="1" x14ac:dyDescent="0.2">
      <c r="C56" s="110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91"/>
      <c r="T56" s="91"/>
      <c r="U56" s="139"/>
    </row>
    <row r="57" spans="1:104" ht="38.25" x14ac:dyDescent="0.2">
      <c r="A57" s="91"/>
      <c r="B57" s="134" t="str">
        <f>"(LOCAL &amp; OTHER)" &amp; "  " &amp; "Budgeted: " &amp; TEXT(B48,"$#,##0")  &amp; "  " &amp; "Actual: " &amp; TEXT(C48,"$#,##0") &amp; "  " &amp; TEXT(D48,"###.00%") &amp; CHAR(10) &amp; "(STATE)" &amp; "  " &amp; "Budgeted: " &amp; TEXT(B49,"$#,##0") &amp; "  " &amp; "Actual: " &amp; TEXT(C49,"$#,##0") &amp; "   " &amp; TEXT(D49,"###.00%") &amp; CHAR(10) &amp; "TOTAL Budgeted: " &amp; TEXT(B50,"$#,##0") &amp; "  " &amp; "Actual: " &amp; TEXT(C50,"$#,##0") &amp; "   " &amp; TEXT(D50,"###.00%")</f>
        <v>(LOCAL &amp; OTHER)  Budgeted: $992,348,398  Actual: $831,146,731  83.76%
(STATE)  Budgeted: $560,327,715  Actual: $168,472,062   30.07%
TOTAL Budgeted: $1,552,676,113  Actual: $999,618,793   64.38%</v>
      </c>
      <c r="C57" s="134"/>
      <c r="D57" s="134"/>
      <c r="E57" s="134"/>
      <c r="F57" s="134"/>
      <c r="G57" s="134"/>
      <c r="H57" s="134"/>
      <c r="I57" s="134"/>
      <c r="J57" s="134"/>
      <c r="K57" s="134"/>
      <c r="Q57" s="47"/>
      <c r="R57" s="135" t="s">
        <v>84</v>
      </c>
      <c r="U57" s="139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  <c r="BZ57" s="85"/>
      <c r="CA57" s="85"/>
      <c r="CB57" s="85"/>
      <c r="CC57" s="85"/>
      <c r="CD57" s="85"/>
      <c r="CE57" s="85"/>
      <c r="CF57" s="85"/>
      <c r="CG57" s="85"/>
      <c r="CH57" s="85"/>
      <c r="CI57" s="85"/>
      <c r="CJ57" s="85"/>
      <c r="CK57" s="85"/>
      <c r="CL57" s="85"/>
      <c r="CM57" s="85"/>
      <c r="CN57" s="85"/>
      <c r="CO57" s="85"/>
      <c r="CP57" s="85"/>
      <c r="CQ57" s="85"/>
      <c r="CR57" s="85"/>
      <c r="CS57" s="85"/>
      <c r="CT57" s="85"/>
      <c r="CU57" s="85"/>
      <c r="CV57" s="85"/>
      <c r="CW57" s="85"/>
      <c r="CX57" s="85"/>
      <c r="CY57" s="85"/>
      <c r="CZ57" s="85"/>
    </row>
    <row r="58" spans="1:104" x14ac:dyDescent="0.2">
      <c r="B58" s="153" t="str">
        <f>"(STATE)" &amp; CHAR(9) &amp; "Budgeted: " &amp; TEXT(B49,"$#,##0") &amp; CHAR(9) &amp; "Actual: " &amp; TEXT(C49,"$#,##0") &amp; "   " &amp; TEXT(D49,"###.00%")</f>
        <v>(STATE)	Budgeted: $560,327,715	Actual: $168,472,062   30.07%</v>
      </c>
      <c r="C58" s="153"/>
      <c r="D58" s="153"/>
      <c r="E58" s="153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123"/>
      <c r="T58" s="133"/>
      <c r="U58" s="133"/>
    </row>
    <row r="59" spans="1:104" x14ac:dyDescent="0.2">
      <c r="B59" s="153" t="str">
        <f>"TOTAL Budgeted: " &amp; TEXT(B50,"$#,##0") &amp; CHAR(9) &amp; "Actual: " &amp; TEXT(C50,"$#,##0") &amp; "   " &amp; TEXT(D50,"###.00%")</f>
        <v>TOTAL Budgeted: $1,552,676,113	Actual: $999,618,793   64.38%</v>
      </c>
      <c r="C59" s="153"/>
      <c r="D59" s="153"/>
      <c r="E59" s="153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6"/>
    </row>
    <row r="60" spans="1:104" x14ac:dyDescent="0.2">
      <c r="B60" s="111"/>
      <c r="C60" s="112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6"/>
    </row>
    <row r="61" spans="1:104" ht="13.5" thickBot="1" x14ac:dyDescent="0.25">
      <c r="B61" s="46"/>
      <c r="C61" s="91"/>
      <c r="E61" s="46"/>
      <c r="L61" s="47"/>
      <c r="M61" s="47"/>
      <c r="N61" s="47"/>
      <c r="O61" s="47"/>
      <c r="P61" s="47"/>
      <c r="Q61" s="47"/>
    </row>
    <row r="62" spans="1:104" s="91" customFormat="1" ht="26.25" thickBot="1" x14ac:dyDescent="0.25">
      <c r="A62" s="113" t="s">
        <v>32</v>
      </c>
      <c r="B62" s="114" t="s">
        <v>33</v>
      </c>
      <c r="P62" s="47"/>
      <c r="Q62" s="47"/>
      <c r="R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</row>
    <row r="63" spans="1:104" s="91" customFormat="1" x14ac:dyDescent="0.2">
      <c r="A63" s="115" t="s">
        <v>8</v>
      </c>
      <c r="B63" s="116">
        <v>824487322.13</v>
      </c>
      <c r="C63" s="46"/>
      <c r="N63" s="117"/>
      <c r="O63" s="47"/>
      <c r="P63" s="47"/>
      <c r="Q63" s="47"/>
      <c r="R63" s="47"/>
    </row>
    <row r="64" spans="1:104" x14ac:dyDescent="0.2">
      <c r="A64" s="115" t="s">
        <v>9</v>
      </c>
      <c r="B64" s="116">
        <v>6549863.8400000008</v>
      </c>
      <c r="C64" s="46"/>
      <c r="E64" s="46"/>
      <c r="G64" s="91"/>
      <c r="I64" s="91"/>
      <c r="J64" s="91"/>
      <c r="K64" s="91"/>
      <c r="L64" s="91"/>
      <c r="M64" s="47"/>
      <c r="N64" s="117"/>
      <c r="O64" s="118"/>
      <c r="P64" s="47"/>
      <c r="Q64" s="47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91"/>
      <c r="CO64" s="91"/>
      <c r="CP64" s="91"/>
      <c r="CQ64" s="91"/>
      <c r="CR64" s="91"/>
      <c r="CS64" s="91"/>
      <c r="CT64" s="91"/>
      <c r="CU64" s="91"/>
      <c r="CV64" s="91"/>
      <c r="CW64" s="91"/>
      <c r="CX64" s="91"/>
      <c r="CY64" s="91"/>
      <c r="CZ64" s="91"/>
    </row>
    <row r="65" spans="1:20" x14ac:dyDescent="0.2">
      <c r="A65" s="115" t="s">
        <v>10</v>
      </c>
      <c r="B65" s="116">
        <v>168472062.39999998</v>
      </c>
      <c r="C65" s="46"/>
      <c r="E65" s="46"/>
      <c r="G65" s="91"/>
      <c r="I65" s="91"/>
      <c r="J65" s="91"/>
      <c r="K65" s="91"/>
      <c r="L65" s="91"/>
      <c r="M65" s="47"/>
      <c r="N65" s="117"/>
      <c r="O65" s="118"/>
      <c r="P65" s="47"/>
      <c r="Q65" s="47"/>
    </row>
    <row r="66" spans="1:20" x14ac:dyDescent="0.2">
      <c r="A66" s="115" t="s">
        <v>74</v>
      </c>
      <c r="B66" s="46">
        <v>0</v>
      </c>
      <c r="E66" s="46"/>
      <c r="G66" s="91"/>
      <c r="I66" s="91"/>
      <c r="J66" s="91"/>
      <c r="K66" s="91"/>
      <c r="L66" s="91"/>
      <c r="M66" s="47"/>
      <c r="N66" s="117"/>
      <c r="O66" s="118"/>
      <c r="P66" s="47"/>
      <c r="Q66" s="47"/>
    </row>
    <row r="67" spans="1:20" ht="13.5" thickBot="1" x14ac:dyDescent="0.25">
      <c r="A67" s="115" t="s">
        <v>11</v>
      </c>
      <c r="B67" s="116">
        <v>109545.11</v>
      </c>
      <c r="C67" s="46"/>
      <c r="D67" s="91"/>
      <c r="E67" s="46"/>
      <c r="G67" s="91"/>
      <c r="H67" s="46" t="str">
        <f xml:space="preserve"> CHAR(9)</f>
        <v xml:space="preserve">	</v>
      </c>
      <c r="I67" s="91"/>
      <c r="J67" s="91"/>
      <c r="K67" s="91"/>
      <c r="L67" s="91"/>
      <c r="M67" s="91"/>
      <c r="N67" s="47"/>
      <c r="O67" s="117"/>
      <c r="P67" s="118"/>
      <c r="Q67" s="47"/>
    </row>
    <row r="68" spans="1:20" ht="13.5" thickBot="1" x14ac:dyDescent="0.25">
      <c r="A68" s="119" t="s">
        <v>64</v>
      </c>
      <c r="B68" s="120">
        <f>SUM(B63:B67)</f>
        <v>999618793.48000002</v>
      </c>
      <c r="C68" s="91"/>
      <c r="D68" s="91"/>
      <c r="E68" s="46"/>
      <c r="G68" s="91"/>
      <c r="I68" s="91"/>
      <c r="J68" s="91"/>
      <c r="K68" s="91"/>
      <c r="L68" s="91"/>
      <c r="M68" s="47"/>
      <c r="N68" s="117"/>
      <c r="O68" s="118"/>
      <c r="P68" s="47"/>
      <c r="Q68" s="47"/>
    </row>
    <row r="69" spans="1:20" ht="13.5" thickBot="1" x14ac:dyDescent="0.25">
      <c r="C69" s="46"/>
      <c r="D69" s="91"/>
      <c r="E69" s="46"/>
      <c r="I69" s="91"/>
      <c r="J69" s="91"/>
      <c r="K69" s="91"/>
      <c r="L69" s="91"/>
      <c r="M69" s="91"/>
      <c r="N69" s="47"/>
      <c r="O69" s="117"/>
      <c r="P69" s="118"/>
      <c r="Q69" s="47"/>
    </row>
    <row r="70" spans="1:20" ht="26.25" thickBot="1" x14ac:dyDescent="0.25">
      <c r="B70" s="108" t="s">
        <v>66</v>
      </c>
      <c r="C70" s="121" t="s">
        <v>65</v>
      </c>
      <c r="D70" s="91"/>
      <c r="E70" s="46"/>
      <c r="G70" s="91"/>
      <c r="H70" s="91"/>
      <c r="I70" s="91"/>
      <c r="J70" s="91"/>
      <c r="K70" s="91"/>
      <c r="L70" s="91"/>
      <c r="M70" s="47"/>
      <c r="N70" s="117"/>
      <c r="O70" s="118"/>
      <c r="P70" s="47"/>
      <c r="Q70" s="47"/>
    </row>
    <row r="71" spans="1:20" x14ac:dyDescent="0.2">
      <c r="A71" s="91" t="s">
        <v>8</v>
      </c>
      <c r="B71" s="46">
        <v>970273398</v>
      </c>
      <c r="C71" s="46">
        <v>824487322.13</v>
      </c>
      <c r="D71" s="91"/>
      <c r="E71" s="46"/>
      <c r="G71" s="91"/>
      <c r="H71" s="91"/>
      <c r="I71" s="91"/>
      <c r="J71" s="91"/>
      <c r="K71" s="91"/>
      <c r="L71" s="91"/>
      <c r="M71" s="47"/>
      <c r="N71" s="117"/>
      <c r="O71" s="118"/>
      <c r="P71" s="47"/>
      <c r="Q71" s="47"/>
    </row>
    <row r="72" spans="1:20" x14ac:dyDescent="0.2">
      <c r="A72" s="91" t="s">
        <v>9</v>
      </c>
      <c r="B72" s="46">
        <v>15000000</v>
      </c>
      <c r="C72" s="46">
        <v>6549863.8400000008</v>
      </c>
      <c r="D72" s="91"/>
      <c r="E72" s="46"/>
      <c r="G72" s="91"/>
      <c r="H72" s="91"/>
      <c r="I72" s="91"/>
      <c r="J72" s="91"/>
      <c r="K72" s="91"/>
      <c r="L72" s="91"/>
      <c r="M72" s="47"/>
      <c r="N72" s="117"/>
      <c r="O72" s="118"/>
      <c r="P72" s="47"/>
      <c r="Q72" s="47"/>
    </row>
    <row r="73" spans="1:20" x14ac:dyDescent="0.2">
      <c r="A73" s="91" t="s">
        <v>10</v>
      </c>
      <c r="B73" s="46">
        <v>560327715</v>
      </c>
      <c r="C73" s="46">
        <v>168472062.39999998</v>
      </c>
      <c r="D73" s="91"/>
      <c r="E73" s="46"/>
      <c r="G73" s="91"/>
      <c r="H73" s="91"/>
      <c r="I73" s="91"/>
      <c r="J73" s="91"/>
      <c r="K73" s="91"/>
      <c r="L73" s="91"/>
      <c r="M73" s="47"/>
      <c r="N73" s="117"/>
      <c r="O73" s="118"/>
      <c r="P73" s="47"/>
      <c r="Q73" s="47"/>
    </row>
    <row r="74" spans="1:20" x14ac:dyDescent="0.2">
      <c r="A74" s="80" t="s">
        <v>74</v>
      </c>
      <c r="B74" s="46">
        <v>7075000</v>
      </c>
      <c r="C74" s="46">
        <v>0</v>
      </c>
      <c r="D74" s="91"/>
      <c r="E74" s="46"/>
      <c r="G74" s="91"/>
      <c r="H74" s="91"/>
      <c r="I74" s="91"/>
      <c r="J74" s="91"/>
      <c r="K74" s="91"/>
      <c r="L74" s="91"/>
      <c r="M74" s="47"/>
      <c r="N74" s="117"/>
      <c r="O74" s="118"/>
      <c r="P74" s="47"/>
      <c r="Q74" s="47"/>
    </row>
    <row r="75" spans="1:20" x14ac:dyDescent="0.2">
      <c r="A75" s="91" t="s">
        <v>11</v>
      </c>
      <c r="B75" s="46">
        <v>0</v>
      </c>
      <c r="C75" s="46">
        <v>109545.11</v>
      </c>
      <c r="D75" s="91"/>
      <c r="E75" s="46"/>
      <c r="H75" s="91"/>
      <c r="I75" s="91"/>
      <c r="J75" s="91"/>
      <c r="K75" s="91"/>
      <c r="L75" s="91"/>
      <c r="M75" s="47"/>
      <c r="N75" s="117"/>
      <c r="O75" s="118"/>
      <c r="P75" s="47"/>
      <c r="Q75" s="47"/>
    </row>
    <row r="76" spans="1:20" x14ac:dyDescent="0.2">
      <c r="B76" s="46"/>
      <c r="E76" s="46"/>
      <c r="H76" s="91"/>
      <c r="I76" s="91"/>
      <c r="J76" s="91"/>
      <c r="K76" s="91"/>
      <c r="L76" s="91"/>
      <c r="M76" s="47"/>
      <c r="N76" s="117"/>
      <c r="O76" s="118"/>
      <c r="P76" s="47"/>
      <c r="Q76" s="47"/>
    </row>
    <row r="77" spans="1:20" x14ac:dyDescent="0.2">
      <c r="B77" s="46"/>
      <c r="E77" s="46"/>
      <c r="P77" s="47"/>
      <c r="Q77" s="47"/>
    </row>
    <row r="78" spans="1:20" x14ac:dyDescent="0.2">
      <c r="B78" s="46"/>
      <c r="E78" s="46"/>
      <c r="P78" s="47"/>
      <c r="Q78" s="47"/>
    </row>
    <row r="79" spans="1:20" ht="12.75" customHeight="1" x14ac:dyDescent="0.2">
      <c r="C79" s="123"/>
      <c r="D79" s="123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</row>
    <row r="80" spans="1:20" x14ac:dyDescent="0.2">
      <c r="E80" s="46"/>
      <c r="P80" s="47"/>
      <c r="Q80" s="47"/>
      <c r="S80" s="47"/>
      <c r="T80" s="47"/>
    </row>
    <row r="81" spans="2:17" x14ac:dyDescent="0.2">
      <c r="E81" s="46"/>
      <c r="P81" s="47"/>
      <c r="Q81" s="47"/>
    </row>
    <row r="82" spans="2:17" x14ac:dyDescent="0.2">
      <c r="B82" s="46"/>
      <c r="E82" s="46"/>
      <c r="P82" s="47"/>
      <c r="Q82" s="47"/>
    </row>
    <row r="83" spans="2:17" x14ac:dyDescent="0.2">
      <c r="B83" s="46"/>
      <c r="E83" s="46"/>
      <c r="P83" s="47"/>
      <c r="Q83" s="47"/>
    </row>
    <row r="84" spans="2:17" x14ac:dyDescent="0.2">
      <c r="E84" s="46"/>
      <c r="P84" s="47"/>
      <c r="Q84" s="47"/>
    </row>
    <row r="85" spans="2:17" x14ac:dyDescent="0.2">
      <c r="E85" s="46"/>
      <c r="P85" s="47"/>
      <c r="Q85" s="47"/>
    </row>
    <row r="86" spans="2:17" x14ac:dyDescent="0.2">
      <c r="E86" s="46"/>
      <c r="P86" s="47"/>
      <c r="Q86" s="47"/>
    </row>
    <row r="87" spans="2:17" x14ac:dyDescent="0.2">
      <c r="E87" s="46"/>
      <c r="P87" s="47"/>
      <c r="Q87" s="47"/>
    </row>
    <row r="88" spans="2:17" x14ac:dyDescent="0.2">
      <c r="E88" s="46"/>
      <c r="Q88" s="47"/>
    </row>
    <row r="89" spans="2:17" x14ac:dyDescent="0.2">
      <c r="E89" s="46"/>
      <c r="Q89" s="47"/>
    </row>
    <row r="90" spans="2:17" x14ac:dyDescent="0.2">
      <c r="E90" s="46"/>
      <c r="Q90" s="47"/>
    </row>
    <row r="91" spans="2:17" x14ac:dyDescent="0.2">
      <c r="E91" s="46"/>
      <c r="Q91" s="47"/>
    </row>
    <row r="92" spans="2:17" x14ac:dyDescent="0.2">
      <c r="E92" s="46"/>
      <c r="Q92" s="47"/>
    </row>
    <row r="93" spans="2:17" x14ac:dyDescent="0.2">
      <c r="E93" s="46"/>
      <c r="Q93" s="47"/>
    </row>
    <row r="94" spans="2:17" x14ac:dyDescent="0.2">
      <c r="E94" s="46"/>
      <c r="Q94" s="47"/>
    </row>
    <row r="95" spans="2:17" x14ac:dyDescent="0.2">
      <c r="E95" s="46"/>
      <c r="Q95" s="47"/>
    </row>
    <row r="96" spans="2:17" x14ac:dyDescent="0.2">
      <c r="E96" s="46"/>
      <c r="Q96" s="47"/>
    </row>
    <row r="97" spans="5:17" x14ac:dyDescent="0.2">
      <c r="E97" s="46"/>
      <c r="Q97" s="47"/>
    </row>
    <row r="98" spans="5:17" x14ac:dyDescent="0.2">
      <c r="E98" s="46"/>
      <c r="Q98" s="47"/>
    </row>
    <row r="99" spans="5:17" x14ac:dyDescent="0.2">
      <c r="E99" s="46"/>
      <c r="Q99" s="47"/>
    </row>
  </sheetData>
  <mergeCells count="8">
    <mergeCell ref="B58:E58"/>
    <mergeCell ref="B59:E59"/>
    <mergeCell ref="C52:D52"/>
    <mergeCell ref="A1:G1"/>
    <mergeCell ref="A3:G3"/>
    <mergeCell ref="B28:F28"/>
    <mergeCell ref="B30:F30"/>
    <mergeCell ref="A38:F38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V106"/>
  <sheetViews>
    <sheetView workbookViewId="0">
      <selection sqref="A1:I1"/>
    </sheetView>
  </sheetViews>
  <sheetFormatPr defaultRowHeight="15" x14ac:dyDescent="0.25"/>
  <cols>
    <col min="1" max="1" width="51.7109375" style="1" customWidth="1"/>
    <col min="2" max="3" width="15.42578125" style="28" bestFit="1" customWidth="1"/>
    <col min="4" max="4" width="13.85546875" style="28" customWidth="1"/>
    <col min="5" max="5" width="14.7109375" style="28" bestFit="1" customWidth="1"/>
    <col min="6" max="6" width="16.85546875" style="28" customWidth="1"/>
    <col min="7" max="7" width="14.7109375" style="28" bestFit="1" customWidth="1"/>
    <col min="8" max="8" width="15.7109375" style="28" customWidth="1"/>
    <col min="9" max="9" width="13.5703125" style="1" customWidth="1"/>
    <col min="10" max="10" width="2.42578125" style="1" customWidth="1"/>
    <col min="11" max="11" width="25.7109375" style="1" bestFit="1" customWidth="1"/>
    <col min="12" max="13" width="14.5703125" style="129" bestFit="1" customWidth="1"/>
    <col min="14" max="15" width="14.140625" style="129" customWidth="1"/>
    <col min="16" max="16" width="13.7109375" style="129" customWidth="1"/>
    <col min="17" max="19" width="9.140625" style="1"/>
    <col min="20" max="21" width="12.42578125" style="1" bestFit="1" customWidth="1"/>
    <col min="22" max="16384" width="9.140625" style="1"/>
  </cols>
  <sheetData>
    <row r="1" spans="1:22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22" ht="18.75" x14ac:dyDescent="0.3">
      <c r="A2" s="151" t="s">
        <v>78</v>
      </c>
      <c r="B2" s="151"/>
      <c r="C2" s="151"/>
      <c r="D2" s="151"/>
      <c r="E2" s="151"/>
      <c r="F2" s="151"/>
      <c r="G2" s="151"/>
      <c r="H2" s="151"/>
      <c r="I2" s="151"/>
    </row>
    <row r="3" spans="1:22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</row>
    <row r="4" spans="1:22" x14ac:dyDescent="0.25">
      <c r="A4" s="152">
        <v>45626</v>
      </c>
      <c r="B4" s="152"/>
      <c r="C4" s="152"/>
      <c r="D4" s="152"/>
      <c r="E4" s="152"/>
      <c r="F4" s="152"/>
      <c r="G4" s="152"/>
      <c r="H4" s="152"/>
      <c r="I4" s="152"/>
    </row>
    <row r="5" spans="1:22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</row>
    <row r="6" spans="1:22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L7" s="130"/>
      <c r="M7" s="130"/>
      <c r="N7" s="130"/>
      <c r="O7" s="130"/>
      <c r="P7" s="130"/>
    </row>
    <row r="8" spans="1:22" s="5" customFormat="1" x14ac:dyDescent="0.2">
      <c r="A8" s="6" t="s">
        <v>8</v>
      </c>
      <c r="B8" s="7">
        <v>217465.57</v>
      </c>
      <c r="C8" s="7">
        <v>8572275.3200000003</v>
      </c>
      <c r="D8" s="7">
        <v>1596897.8700000003</v>
      </c>
      <c r="E8" s="7">
        <v>6722351.5799999991</v>
      </c>
      <c r="F8" s="7">
        <v>0</v>
      </c>
      <c r="G8" s="7">
        <f t="shared" ref="G8:G12" si="0">SUM(E8:F8)</f>
        <v>6722351.5799999991</v>
      </c>
      <c r="H8" s="7">
        <f t="shared" ref="H8:H12" si="1">C8-G8</f>
        <v>1849923.7400000012</v>
      </c>
      <c r="I8" s="37">
        <f>IF(C8=0,"NA",H8/C8)</f>
        <v>0.215803117718809</v>
      </c>
      <c r="K8"/>
      <c r="L8" s="138"/>
      <c r="M8" s="138"/>
      <c r="N8" s="138"/>
      <c r="O8" s="138"/>
      <c r="P8" s="138"/>
      <c r="R8" s="130"/>
      <c r="S8" s="130"/>
      <c r="T8" s="130"/>
      <c r="U8" s="130"/>
      <c r="V8" s="130"/>
    </row>
    <row r="9" spans="1:22" s="5" customFormat="1" x14ac:dyDescent="0.2">
      <c r="A9" s="6" t="s">
        <v>9</v>
      </c>
      <c r="B9" s="7">
        <v>0</v>
      </c>
      <c r="C9" s="7">
        <v>0</v>
      </c>
      <c r="D9" s="7">
        <v>0</v>
      </c>
      <c r="E9" s="7">
        <v>5470.92</v>
      </c>
      <c r="F9" s="7">
        <v>0</v>
      </c>
      <c r="G9" s="7">
        <f t="shared" si="0"/>
        <v>5470.92</v>
      </c>
      <c r="H9" s="7">
        <f t="shared" si="1"/>
        <v>-5470.92</v>
      </c>
      <c r="I9" s="37" t="str">
        <f>IF(C9=0,"NA",H9/C9)</f>
        <v>NA</v>
      </c>
      <c r="K9"/>
      <c r="L9" s="138"/>
      <c r="M9" s="138"/>
      <c r="N9" s="138"/>
      <c r="O9" s="138"/>
      <c r="P9" s="138"/>
      <c r="R9" s="130"/>
      <c r="S9" s="130"/>
      <c r="T9" s="130"/>
      <c r="U9" s="130"/>
      <c r="V9" s="130"/>
    </row>
    <row r="10" spans="1:22" s="5" customFormat="1" x14ac:dyDescent="0.2">
      <c r="A10" s="6" t="s">
        <v>10</v>
      </c>
      <c r="B10" s="7">
        <v>0</v>
      </c>
      <c r="C10" s="7">
        <v>19272572.189999998</v>
      </c>
      <c r="D10" s="7">
        <v>1449202.76</v>
      </c>
      <c r="E10" s="7">
        <v>6949443.6900000004</v>
      </c>
      <c r="F10" s="7">
        <v>0</v>
      </c>
      <c r="G10" s="7">
        <f t="shared" si="0"/>
        <v>6949443.6900000004</v>
      </c>
      <c r="H10" s="7">
        <f t="shared" si="1"/>
        <v>12323128.499999996</v>
      </c>
      <c r="I10" s="37">
        <f>IF(C10=0,"NA",H10/C10)</f>
        <v>0.63941275604063508</v>
      </c>
      <c r="K10"/>
      <c r="L10" s="138"/>
      <c r="M10" s="138"/>
      <c r="N10" s="138"/>
      <c r="O10" s="138"/>
      <c r="P10" s="138"/>
      <c r="R10" s="130"/>
      <c r="S10" s="130"/>
      <c r="T10" s="130"/>
      <c r="U10" s="130"/>
      <c r="V10" s="130"/>
    </row>
    <row r="11" spans="1:22" s="5" customFormat="1" x14ac:dyDescent="0.2">
      <c r="A11" s="6" t="s">
        <v>74</v>
      </c>
      <c r="B11" s="7">
        <v>347152928</v>
      </c>
      <c r="C11" s="7">
        <v>640453004.25</v>
      </c>
      <c r="D11" s="7">
        <v>291696.09999999998</v>
      </c>
      <c r="E11" s="7">
        <v>1303858.28</v>
      </c>
      <c r="F11" s="7">
        <v>0</v>
      </c>
      <c r="G11" s="7">
        <f t="shared" si="0"/>
        <v>1303858.28</v>
      </c>
      <c r="H11" s="7">
        <f t="shared" si="1"/>
        <v>639149145.97000003</v>
      </c>
      <c r="I11" s="37">
        <f>IF(C11=0,"NA",H11/C11)</f>
        <v>0.99796416244229058</v>
      </c>
      <c r="K11"/>
      <c r="L11" s="138"/>
      <c r="M11" s="138"/>
      <c r="N11" s="138"/>
      <c r="O11" s="138"/>
      <c r="P11" s="138"/>
      <c r="R11" s="130"/>
      <c r="S11" s="130"/>
      <c r="T11" s="130"/>
      <c r="U11" s="130"/>
      <c r="V11" s="130"/>
    </row>
    <row r="12" spans="1:22" s="5" customFormat="1" x14ac:dyDescent="0.2">
      <c r="A12" s="8" t="s">
        <v>11</v>
      </c>
      <c r="B12" s="7">
        <v>4424000</v>
      </c>
      <c r="C12" s="7">
        <v>4676221.3600000003</v>
      </c>
      <c r="D12" s="7">
        <v>53664.08</v>
      </c>
      <c r="E12" s="7">
        <v>1110387.95</v>
      </c>
      <c r="F12" s="7">
        <v>0</v>
      </c>
      <c r="G12" s="7">
        <f t="shared" si="0"/>
        <v>1110387.95</v>
      </c>
      <c r="H12" s="7">
        <f t="shared" si="1"/>
        <v>3565833.41</v>
      </c>
      <c r="I12" s="37">
        <f>IF(C12=0,"NA",H12/C12)</f>
        <v>0.76254589667243633</v>
      </c>
      <c r="K12" s="138"/>
      <c r="L12" s="138"/>
      <c r="M12" s="138"/>
      <c r="N12" s="138"/>
      <c r="O12" s="138"/>
      <c r="P12" s="138"/>
      <c r="R12" s="130"/>
      <c r="S12" s="130"/>
      <c r="T12" s="130"/>
      <c r="U12" s="130"/>
      <c r="V12" s="130"/>
    </row>
    <row r="13" spans="1:22" s="5" customFormat="1" ht="24.95" customHeight="1" x14ac:dyDescent="0.25">
      <c r="A13" s="10" t="s">
        <v>12</v>
      </c>
      <c r="B13" s="11">
        <f>SUM(B8:B12)</f>
        <v>351794393.56999999</v>
      </c>
      <c r="C13" s="11">
        <f t="shared" ref="C13:H13" si="2">SUM(C8:C12)</f>
        <v>672974073.12</v>
      </c>
      <c r="D13" s="11">
        <f t="shared" si="2"/>
        <v>3391460.8100000005</v>
      </c>
      <c r="E13" s="11">
        <f t="shared" si="2"/>
        <v>16091512.419999998</v>
      </c>
      <c r="F13" s="11">
        <f t="shared" si="2"/>
        <v>0</v>
      </c>
      <c r="G13" s="11">
        <f t="shared" si="2"/>
        <v>16091512.419999998</v>
      </c>
      <c r="H13" s="11">
        <f t="shared" si="2"/>
        <v>656882560.70000005</v>
      </c>
      <c r="I13" s="34">
        <f>IF(C13=0,"",H13/C13)</f>
        <v>0.97608895637628723</v>
      </c>
      <c r="L13" s="1"/>
      <c r="M13" s="1"/>
      <c r="N13" s="1"/>
      <c r="O13" s="1"/>
      <c r="P13" s="1"/>
      <c r="Q13" s="1"/>
      <c r="R13" s="1"/>
      <c r="S13" s="1"/>
    </row>
    <row r="14" spans="1:22" s="5" customFormat="1" x14ac:dyDescent="0.2">
      <c r="A14" s="12" t="s">
        <v>13</v>
      </c>
      <c r="B14" s="13">
        <v>72727101.38000001</v>
      </c>
      <c r="C14" s="13">
        <v>254918983.42000002</v>
      </c>
      <c r="D14" s="13">
        <v>5372461.2700000089</v>
      </c>
      <c r="E14" s="13">
        <v>57246745.959999949</v>
      </c>
      <c r="F14" s="13">
        <v>2577339.59</v>
      </c>
      <c r="G14" s="13">
        <f t="shared" ref="G14:G32" si="3">SUM(E14:F14)</f>
        <v>59824085.549999952</v>
      </c>
      <c r="H14" s="13">
        <f t="shared" ref="H14:H32" si="4">C14-G14</f>
        <v>195094897.87000006</v>
      </c>
      <c r="I14" s="35">
        <f>IF(C14=0,"NA",H14/C14)</f>
        <v>0.76532118264635141</v>
      </c>
      <c r="L14" s="130"/>
      <c r="M14" s="130"/>
      <c r="N14" s="130"/>
      <c r="O14" s="130"/>
      <c r="P14" s="130"/>
      <c r="R14" s="130"/>
      <c r="S14" s="130"/>
      <c r="T14" s="130"/>
      <c r="U14" s="130"/>
      <c r="V14" s="130"/>
    </row>
    <row r="15" spans="1:22" s="5" customFormat="1" x14ac:dyDescent="0.2">
      <c r="A15" s="6" t="s">
        <v>14</v>
      </c>
      <c r="B15" s="7">
        <v>28736583.819999997</v>
      </c>
      <c r="C15" s="7">
        <v>58135751.26000002</v>
      </c>
      <c r="D15" s="7">
        <v>2200826.5900000003</v>
      </c>
      <c r="E15" s="7">
        <v>13741492.359999998</v>
      </c>
      <c r="F15" s="7">
        <v>504916.29</v>
      </c>
      <c r="G15" s="7">
        <f t="shared" si="3"/>
        <v>14246408.649999997</v>
      </c>
      <c r="H15" s="7">
        <f t="shared" si="4"/>
        <v>43889342.610000022</v>
      </c>
      <c r="I15" s="37">
        <f t="shared" ref="I15:I32" si="5">IF(C15=0,"NA",H15/C15)</f>
        <v>0.75494582350392436</v>
      </c>
      <c r="L15" s="130"/>
      <c r="M15" s="130"/>
      <c r="N15" s="130"/>
      <c r="O15" s="130"/>
      <c r="P15" s="130"/>
      <c r="R15" s="130"/>
      <c r="S15" s="130"/>
      <c r="T15" s="130"/>
      <c r="U15" s="130"/>
      <c r="V15" s="130"/>
    </row>
    <row r="16" spans="1:22" s="5" customFormat="1" x14ac:dyDescent="0.2">
      <c r="A16" s="6" t="s">
        <v>15</v>
      </c>
      <c r="B16" s="7">
        <v>26155377.620000001</v>
      </c>
      <c r="C16" s="7">
        <v>7214312.8399999784</v>
      </c>
      <c r="D16" s="7">
        <v>147537.83000000002</v>
      </c>
      <c r="E16" s="7">
        <v>992223.93</v>
      </c>
      <c r="F16" s="7">
        <v>974095.49999999988</v>
      </c>
      <c r="G16" s="7">
        <f t="shared" si="3"/>
        <v>1966319.43</v>
      </c>
      <c r="H16" s="7">
        <f t="shared" si="4"/>
        <v>5247993.4099999787</v>
      </c>
      <c r="I16" s="37">
        <f t="shared" si="5"/>
        <v>0.72744189590757957</v>
      </c>
      <c r="L16" s="130"/>
      <c r="M16" s="130"/>
      <c r="N16" s="130"/>
      <c r="O16" s="130"/>
      <c r="P16" s="130"/>
      <c r="R16" s="130"/>
      <c r="S16" s="130"/>
      <c r="T16" s="130"/>
      <c r="U16" s="130"/>
      <c r="V16" s="130"/>
    </row>
    <row r="17" spans="1:22" s="5" customFormat="1" x14ac:dyDescent="0.2">
      <c r="A17" s="6" t="s">
        <v>16</v>
      </c>
      <c r="B17" s="7">
        <v>28687655.690000001</v>
      </c>
      <c r="C17" s="7">
        <v>60607395.180000044</v>
      </c>
      <c r="D17" s="7">
        <v>2198486.62</v>
      </c>
      <c r="E17" s="7">
        <v>11190075.26000002</v>
      </c>
      <c r="F17" s="7">
        <v>164715.58000000002</v>
      </c>
      <c r="G17" s="7">
        <f t="shared" si="3"/>
        <v>11354790.84000002</v>
      </c>
      <c r="H17" s="7">
        <f t="shared" si="4"/>
        <v>49252604.340000026</v>
      </c>
      <c r="I17" s="37">
        <f t="shared" si="5"/>
        <v>0.81265007667336597</v>
      </c>
      <c r="L17" s="130"/>
      <c r="M17" s="130"/>
      <c r="N17" s="130"/>
      <c r="O17" s="130"/>
      <c r="P17" s="130"/>
      <c r="R17" s="130"/>
      <c r="S17" s="130"/>
      <c r="T17" s="130"/>
      <c r="U17" s="130"/>
      <c r="V17" s="130"/>
    </row>
    <row r="18" spans="1:22" s="5" customFormat="1" x14ac:dyDescent="0.2">
      <c r="A18" s="6" t="s">
        <v>17</v>
      </c>
      <c r="B18" s="7">
        <v>2874200</v>
      </c>
      <c r="C18" s="7">
        <v>3160720.8</v>
      </c>
      <c r="D18" s="7">
        <v>0</v>
      </c>
      <c r="E18" s="7">
        <v>25698.5</v>
      </c>
      <c r="F18" s="7">
        <v>147.66</v>
      </c>
      <c r="G18" s="7">
        <f t="shared" si="3"/>
        <v>25846.16</v>
      </c>
      <c r="H18" s="7">
        <f t="shared" si="4"/>
        <v>3134874.6399999997</v>
      </c>
      <c r="I18" s="37">
        <f t="shared" si="5"/>
        <v>0.99182270069536038</v>
      </c>
      <c r="L18" s="130"/>
      <c r="M18" s="130"/>
      <c r="N18" s="130"/>
      <c r="O18" s="130"/>
      <c r="P18" s="130"/>
      <c r="R18" s="130"/>
      <c r="S18" s="130"/>
      <c r="T18" s="130"/>
      <c r="U18" s="130"/>
      <c r="V18" s="130"/>
    </row>
    <row r="19" spans="1:22" s="5" customFormat="1" x14ac:dyDescent="0.2">
      <c r="A19" s="6" t="s">
        <v>71</v>
      </c>
      <c r="B19" s="7">
        <v>-4405990</v>
      </c>
      <c r="C19" s="7">
        <v>6018205.5000000019</v>
      </c>
      <c r="D19" s="7">
        <v>356658.27000000019</v>
      </c>
      <c r="E19" s="7">
        <v>1921366.7300000002</v>
      </c>
      <c r="F19" s="7">
        <v>72614.06</v>
      </c>
      <c r="G19" s="7">
        <f>SUM(E19:F19)</f>
        <v>1993980.7900000003</v>
      </c>
      <c r="H19" s="7">
        <f>C19-G19</f>
        <v>4024224.7100000018</v>
      </c>
      <c r="I19" s="37">
        <f t="shared" si="5"/>
        <v>0.66867519063614567</v>
      </c>
      <c r="L19" s="130"/>
      <c r="M19" s="130"/>
      <c r="N19" s="130"/>
      <c r="O19" s="130"/>
      <c r="P19" s="130"/>
      <c r="R19" s="130"/>
      <c r="S19" s="130"/>
      <c r="T19" s="130"/>
      <c r="U19" s="130"/>
      <c r="V19" s="130"/>
    </row>
    <row r="20" spans="1:22" s="5" customFormat="1" x14ac:dyDescent="0.2">
      <c r="A20" s="6" t="s">
        <v>18</v>
      </c>
      <c r="B20" s="7">
        <v>51356965.159999996</v>
      </c>
      <c r="C20" s="7">
        <v>56922439.920000024</v>
      </c>
      <c r="D20" s="7">
        <v>127534.01999999999</v>
      </c>
      <c r="E20" s="7">
        <v>841609.62</v>
      </c>
      <c r="F20" s="7">
        <v>6987.55</v>
      </c>
      <c r="G20" s="7">
        <f t="shared" si="3"/>
        <v>848597.17</v>
      </c>
      <c r="H20" s="7">
        <f t="shared" si="4"/>
        <v>56073842.750000022</v>
      </c>
      <c r="I20" s="37">
        <f t="shared" si="5"/>
        <v>0.98509204504949832</v>
      </c>
      <c r="L20" s="130"/>
      <c r="M20" s="130"/>
      <c r="N20" s="130"/>
      <c r="O20" s="130"/>
      <c r="P20" s="130"/>
      <c r="R20" s="130"/>
      <c r="S20" s="130"/>
      <c r="T20" s="130"/>
      <c r="U20" s="130"/>
      <c r="V20" s="130"/>
    </row>
    <row r="21" spans="1:22" s="5" customFormat="1" x14ac:dyDescent="0.2">
      <c r="A21" s="6" t="s">
        <v>19</v>
      </c>
      <c r="B21" s="7">
        <v>27758634</v>
      </c>
      <c r="C21" s="7">
        <v>9874078.9400000069</v>
      </c>
      <c r="D21" s="7">
        <v>61389.720000000016</v>
      </c>
      <c r="E21" s="7">
        <v>794996.82000000007</v>
      </c>
      <c r="F21" s="7">
        <v>0</v>
      </c>
      <c r="G21" s="7">
        <f t="shared" si="3"/>
        <v>794996.82000000007</v>
      </c>
      <c r="H21" s="7">
        <f t="shared" si="4"/>
        <v>9079082.1200000066</v>
      </c>
      <c r="I21" s="37">
        <f t="shared" si="5"/>
        <v>0.91948648326281257</v>
      </c>
      <c r="L21" s="130"/>
      <c r="M21" s="130"/>
      <c r="N21" s="130"/>
      <c r="O21" s="130"/>
      <c r="P21" s="130"/>
      <c r="R21" s="130"/>
      <c r="S21" s="130"/>
      <c r="T21" s="130"/>
      <c r="U21" s="130"/>
      <c r="V21" s="130"/>
    </row>
    <row r="22" spans="1:22" s="5" customFormat="1" x14ac:dyDescent="0.2">
      <c r="A22" s="6" t="s">
        <v>20</v>
      </c>
      <c r="B22" s="7">
        <v>26109645</v>
      </c>
      <c r="C22" s="7">
        <v>866676.90000000014</v>
      </c>
      <c r="D22" s="7">
        <v>18111.98</v>
      </c>
      <c r="E22" s="7">
        <v>215378.95</v>
      </c>
      <c r="F22" s="7">
        <v>14916.41</v>
      </c>
      <c r="G22" s="7">
        <f t="shared" si="3"/>
        <v>230295.36000000002</v>
      </c>
      <c r="H22" s="7">
        <f t="shared" si="4"/>
        <v>636381.54000000015</v>
      </c>
      <c r="I22" s="37">
        <f t="shared" si="5"/>
        <v>0.73427772218228049</v>
      </c>
      <c r="L22" s="130"/>
      <c r="M22" s="130"/>
      <c r="N22" s="130"/>
      <c r="O22" s="130"/>
      <c r="P22" s="130"/>
      <c r="R22" s="130"/>
      <c r="S22" s="130"/>
      <c r="T22" s="130"/>
      <c r="U22" s="130"/>
      <c r="V22" s="130"/>
    </row>
    <row r="23" spans="1:22" s="5" customFormat="1" x14ac:dyDescent="0.2">
      <c r="A23" s="6" t="s">
        <v>70</v>
      </c>
      <c r="B23" s="7">
        <v>75326489.599999994</v>
      </c>
      <c r="C23" s="7">
        <v>64892207.800000004</v>
      </c>
      <c r="D23" s="7">
        <v>46962.2</v>
      </c>
      <c r="E23" s="7">
        <v>3013213.2</v>
      </c>
      <c r="F23" s="7">
        <v>25474.05</v>
      </c>
      <c r="G23" s="7">
        <f t="shared" si="3"/>
        <v>3038687.25</v>
      </c>
      <c r="H23" s="7">
        <f t="shared" si="4"/>
        <v>61853520.550000004</v>
      </c>
      <c r="I23" s="37">
        <f t="shared" si="5"/>
        <v>0.9531733107407081</v>
      </c>
      <c r="L23" s="130"/>
      <c r="M23" s="130"/>
      <c r="N23" s="130"/>
      <c r="O23" s="130"/>
      <c r="P23" s="130"/>
      <c r="R23" s="130"/>
      <c r="S23" s="130"/>
      <c r="T23" s="130"/>
      <c r="U23" s="130"/>
      <c r="V23" s="130"/>
    </row>
    <row r="24" spans="1:22" s="5" customFormat="1" x14ac:dyDescent="0.2">
      <c r="A24" s="6" t="s">
        <v>76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f t="shared" ref="G24" si="6">SUM(E24:F24)</f>
        <v>0</v>
      </c>
      <c r="H24" s="7">
        <f t="shared" ref="H24" si="7">C24-G24</f>
        <v>0</v>
      </c>
      <c r="I24" s="37" t="str">
        <f t="shared" ref="I24" si="8">IF(C24=0,"NA",H24/C24)</f>
        <v>NA</v>
      </c>
      <c r="L24" s="130"/>
      <c r="M24" s="130"/>
      <c r="N24" s="130"/>
      <c r="O24" s="130"/>
      <c r="P24" s="130"/>
      <c r="R24" s="130"/>
      <c r="S24" s="130"/>
      <c r="T24" s="130"/>
      <c r="U24" s="130"/>
      <c r="V24" s="130"/>
    </row>
    <row r="25" spans="1:22" s="5" customFormat="1" x14ac:dyDescent="0.2">
      <c r="A25" s="6" t="s">
        <v>21</v>
      </c>
      <c r="B25" s="7">
        <v>27445095</v>
      </c>
      <c r="C25" s="7">
        <v>30834776.559999999</v>
      </c>
      <c r="D25" s="7">
        <v>0</v>
      </c>
      <c r="E25" s="7">
        <v>911488.58</v>
      </c>
      <c r="F25" s="7">
        <v>151.5</v>
      </c>
      <c r="G25" s="7">
        <f t="shared" si="3"/>
        <v>911640.08</v>
      </c>
      <c r="H25" s="7">
        <f t="shared" si="4"/>
        <v>29923136.48</v>
      </c>
      <c r="I25" s="37">
        <f t="shared" si="5"/>
        <v>0.97043467857709043</v>
      </c>
      <c r="L25" s="130"/>
      <c r="M25" s="130"/>
      <c r="N25" s="130"/>
      <c r="O25" s="130"/>
      <c r="P25" s="130"/>
      <c r="R25" s="130"/>
      <c r="S25" s="130"/>
      <c r="T25" s="130"/>
      <c r="U25" s="130"/>
      <c r="V25" s="130"/>
    </row>
    <row r="26" spans="1:22" s="5" customFormat="1" x14ac:dyDescent="0.2">
      <c r="A26" s="6" t="s">
        <v>22</v>
      </c>
      <c r="B26" s="7">
        <v>80181514.729999989</v>
      </c>
      <c r="C26" s="7">
        <v>7756276.1000000043</v>
      </c>
      <c r="D26" s="7">
        <v>38968.300000000003</v>
      </c>
      <c r="E26" s="7">
        <v>754028.75</v>
      </c>
      <c r="F26" s="7">
        <v>11253.300000000001</v>
      </c>
      <c r="G26" s="7">
        <f t="shared" si="3"/>
        <v>765282.05</v>
      </c>
      <c r="H26" s="7">
        <f t="shared" si="4"/>
        <v>6990994.0500000045</v>
      </c>
      <c r="I26" s="37">
        <f t="shared" si="5"/>
        <v>0.90133383080573948</v>
      </c>
      <c r="L26" s="130"/>
      <c r="M26" s="130"/>
      <c r="N26" s="130"/>
      <c r="O26" s="130"/>
      <c r="P26" s="130"/>
      <c r="R26" s="130"/>
      <c r="S26" s="130"/>
      <c r="T26" s="130"/>
      <c r="U26" s="130"/>
      <c r="V26" s="130"/>
    </row>
    <row r="27" spans="1:22" s="5" customFormat="1" x14ac:dyDescent="0.2">
      <c r="A27" s="6" t="s">
        <v>23</v>
      </c>
      <c r="B27" s="7">
        <v>0</v>
      </c>
      <c r="C27" s="7">
        <v>429786.67</v>
      </c>
      <c r="D27" s="7">
        <v>23681.72</v>
      </c>
      <c r="E27" s="7">
        <v>278733.71999999997</v>
      </c>
      <c r="F27" s="7">
        <v>1734.4500000000003</v>
      </c>
      <c r="G27" s="7">
        <f t="shared" si="3"/>
        <v>280468.17</v>
      </c>
      <c r="H27" s="7">
        <f t="shared" si="4"/>
        <v>149318.5</v>
      </c>
      <c r="I27" s="37">
        <f t="shared" si="5"/>
        <v>0.34742468862517306</v>
      </c>
      <c r="L27" s="130"/>
      <c r="M27" s="130"/>
      <c r="N27" s="130"/>
      <c r="O27" s="130"/>
      <c r="P27" s="130"/>
      <c r="R27" s="130"/>
      <c r="S27" s="130"/>
      <c r="T27" s="130"/>
      <c r="U27" s="130"/>
      <c r="V27" s="130"/>
    </row>
    <row r="28" spans="1:22" s="5" customFormat="1" x14ac:dyDescent="0.2">
      <c r="A28" s="6" t="s">
        <v>29</v>
      </c>
      <c r="B28" s="7">
        <v>53744641</v>
      </c>
      <c r="C28" s="7">
        <v>23104003.510000005</v>
      </c>
      <c r="D28" s="7">
        <v>0</v>
      </c>
      <c r="E28" s="7">
        <v>44292.49</v>
      </c>
      <c r="F28" s="7">
        <v>0</v>
      </c>
      <c r="G28" s="7">
        <f t="shared" si="3"/>
        <v>44292.49</v>
      </c>
      <c r="H28" s="7">
        <f t="shared" si="4"/>
        <v>23059711.020000007</v>
      </c>
      <c r="I28" s="37">
        <f t="shared" si="5"/>
        <v>0.99808290844568015</v>
      </c>
      <c r="L28" s="130"/>
      <c r="M28" s="130"/>
      <c r="N28" s="130"/>
      <c r="O28" s="130"/>
      <c r="P28" s="130"/>
      <c r="R28" s="130"/>
      <c r="S28" s="130"/>
      <c r="T28" s="130"/>
      <c r="U28" s="130"/>
      <c r="V28" s="130"/>
    </row>
    <row r="29" spans="1:22" s="5" customFormat="1" x14ac:dyDescent="0.2">
      <c r="A29" s="6" t="s">
        <v>30</v>
      </c>
      <c r="B29" s="7">
        <v>4354000</v>
      </c>
      <c r="C29" s="7">
        <v>4354500</v>
      </c>
      <c r="D29" s="7">
        <v>178174.07999999999</v>
      </c>
      <c r="E29" s="7">
        <v>1204631.1300000001</v>
      </c>
      <c r="F29" s="7">
        <v>706244.75</v>
      </c>
      <c r="G29" s="7">
        <f t="shared" si="3"/>
        <v>1910875.8800000001</v>
      </c>
      <c r="H29" s="7">
        <f t="shared" si="4"/>
        <v>2443624.12</v>
      </c>
      <c r="I29" s="37">
        <f t="shared" si="5"/>
        <v>0.56117214835227924</v>
      </c>
      <c r="L29" s="130"/>
      <c r="M29" s="130"/>
      <c r="N29" s="130"/>
      <c r="O29" s="130"/>
      <c r="P29" s="130"/>
      <c r="R29" s="130"/>
      <c r="S29" s="130"/>
      <c r="T29" s="130"/>
      <c r="U29" s="130"/>
      <c r="V29" s="130"/>
    </row>
    <row r="30" spans="1:22" s="5" customFormat="1" x14ac:dyDescent="0.2">
      <c r="A30" s="6" t="s">
        <v>72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 t="shared" ref="G30" si="9">SUM(E30:F30)</f>
        <v>0</v>
      </c>
      <c r="H30" s="7">
        <f t="shared" ref="H30" si="10">C30-G30</f>
        <v>0</v>
      </c>
      <c r="I30" s="37" t="str">
        <f t="shared" si="5"/>
        <v>NA</v>
      </c>
      <c r="L30" s="130"/>
      <c r="M30" s="130"/>
      <c r="N30" s="130"/>
      <c r="O30" s="130"/>
      <c r="P30" s="130"/>
      <c r="R30" s="130"/>
      <c r="S30" s="130"/>
      <c r="T30" s="130"/>
      <c r="U30" s="130"/>
      <c r="V30" s="130"/>
    </row>
    <row r="31" spans="1:22" s="5" customFormat="1" x14ac:dyDescent="0.2">
      <c r="A31" s="6" t="s">
        <v>73</v>
      </c>
      <c r="B31" s="7">
        <v>158786775.40000001</v>
      </c>
      <c r="C31" s="7">
        <v>89803056.319999978</v>
      </c>
      <c r="D31" s="7">
        <v>0</v>
      </c>
      <c r="E31" s="7">
        <v>20012107.039999999</v>
      </c>
      <c r="F31" s="7">
        <v>43980.24</v>
      </c>
      <c r="G31" s="7">
        <f t="shared" ref="G31" si="11">SUM(E31:F31)</f>
        <v>20056087.279999997</v>
      </c>
      <c r="H31" s="7">
        <f t="shared" ref="H31" si="12">C31-G31</f>
        <v>69746969.039999977</v>
      </c>
      <c r="I31" s="37">
        <f t="shared" si="5"/>
        <v>0.77666587194390035</v>
      </c>
      <c r="L31" s="130"/>
      <c r="M31" s="130"/>
      <c r="N31" s="130"/>
      <c r="O31" s="130"/>
      <c r="P31" s="130"/>
      <c r="R31" s="130"/>
      <c r="S31" s="130"/>
      <c r="T31" s="130"/>
      <c r="U31" s="130"/>
      <c r="V31" s="130"/>
    </row>
    <row r="32" spans="1:22" s="5" customFormat="1" x14ac:dyDescent="0.25">
      <c r="A32" s="6" t="s">
        <v>25</v>
      </c>
      <c r="B32" s="9">
        <v>0</v>
      </c>
      <c r="C32" s="9">
        <v>633100</v>
      </c>
      <c r="D32" s="9">
        <v>29979.66</v>
      </c>
      <c r="E32" s="9">
        <v>57079.400000000009</v>
      </c>
      <c r="F32" s="9">
        <v>0</v>
      </c>
      <c r="G32" s="9">
        <f t="shared" si="3"/>
        <v>57079.400000000009</v>
      </c>
      <c r="H32" s="9">
        <f t="shared" si="4"/>
        <v>576020.6</v>
      </c>
      <c r="I32" s="37">
        <f t="shared" si="5"/>
        <v>0.90984141525825302</v>
      </c>
      <c r="L32" s="1"/>
      <c r="M32" s="1"/>
      <c r="N32" s="1"/>
      <c r="O32" s="1"/>
      <c r="P32" s="1"/>
      <c r="Q32" s="1"/>
      <c r="R32" s="1"/>
      <c r="S32" s="1"/>
    </row>
    <row r="33" spans="1:19" s="5" customFormat="1" ht="24.95" customHeight="1" x14ac:dyDescent="0.25">
      <c r="A33" s="10" t="s">
        <v>26</v>
      </c>
      <c r="B33" s="11">
        <f t="shared" ref="B33:H33" si="13">SUM(B14:B32)</f>
        <v>659838688.39999998</v>
      </c>
      <c r="C33" s="11">
        <f t="shared" si="13"/>
        <v>679526271.72000003</v>
      </c>
      <c r="D33" s="11">
        <f t="shared" si="13"/>
        <v>10800772.260000011</v>
      </c>
      <c r="E33" s="11">
        <f t="shared" si="13"/>
        <v>113245162.43999997</v>
      </c>
      <c r="F33" s="11">
        <f t="shared" si="13"/>
        <v>5104570.93</v>
      </c>
      <c r="G33" s="11">
        <f t="shared" si="13"/>
        <v>118349733.36999996</v>
      </c>
      <c r="H33" s="11">
        <f t="shared" si="13"/>
        <v>561176538.35000014</v>
      </c>
      <c r="I33" s="34">
        <f>IF(C33=0,"",H33/C33)</f>
        <v>0.82583494075889663</v>
      </c>
      <c r="L33" s="1"/>
      <c r="M33" s="1"/>
      <c r="N33" s="1"/>
      <c r="O33" s="1"/>
      <c r="P33" s="1"/>
      <c r="Q33" s="1"/>
      <c r="R33" s="1"/>
      <c r="S33" s="1"/>
    </row>
    <row r="34" spans="1:19" s="5" customFormat="1" x14ac:dyDescent="0.2">
      <c r="A34" s="12"/>
      <c r="B34" s="13"/>
      <c r="C34" s="13"/>
      <c r="D34" s="13"/>
      <c r="E34" s="13"/>
      <c r="F34" s="13"/>
      <c r="G34" s="13"/>
      <c r="H34" s="13"/>
      <c r="I34" s="15"/>
      <c r="L34" s="130"/>
      <c r="M34" s="130"/>
      <c r="N34" s="130"/>
      <c r="O34" s="130"/>
      <c r="P34" s="130"/>
    </row>
    <row r="35" spans="1:19" s="5" customFormat="1" ht="24.95" customHeight="1" x14ac:dyDescent="0.2">
      <c r="A35" s="6" t="s">
        <v>27</v>
      </c>
      <c r="B35" s="7">
        <f>B13-B33</f>
        <v>-308044294.82999998</v>
      </c>
      <c r="C35" s="7">
        <f>C13-C33</f>
        <v>-6552198.6000000238</v>
      </c>
      <c r="D35" s="7">
        <f>D13-D33</f>
        <v>-7409311.4500000104</v>
      </c>
      <c r="E35" s="7">
        <f>E13-E33</f>
        <v>-97153650.019999966</v>
      </c>
      <c r="F35" s="7"/>
      <c r="G35" s="7">
        <f>G13-G33</f>
        <v>-102258220.94999996</v>
      </c>
      <c r="H35" s="7">
        <f>H13-H33</f>
        <v>95706022.349999905</v>
      </c>
      <c r="I35" s="16"/>
      <c r="L35" s="130"/>
      <c r="M35" s="130"/>
      <c r="N35" s="130"/>
      <c r="O35" s="130"/>
      <c r="P35" s="130"/>
    </row>
    <row r="36" spans="1:19" s="5" customFormat="1" x14ac:dyDescent="0.2">
      <c r="A36" s="8"/>
      <c r="B36" s="9"/>
      <c r="C36" s="9"/>
      <c r="D36" s="9"/>
      <c r="E36" s="9"/>
      <c r="F36" s="9"/>
      <c r="G36" s="9"/>
      <c r="H36" s="9"/>
      <c r="I36" s="32"/>
      <c r="L36" s="130"/>
      <c r="M36" s="130"/>
      <c r="N36" s="130"/>
      <c r="O36" s="130"/>
      <c r="P36" s="130"/>
    </row>
    <row r="37" spans="1:19" s="5" customFormat="1" x14ac:dyDescent="0.2">
      <c r="A37" s="18" t="s">
        <v>67</v>
      </c>
      <c r="B37" s="20"/>
      <c r="C37" s="20"/>
      <c r="D37" s="20"/>
      <c r="E37" s="20">
        <v>0</v>
      </c>
      <c r="F37" s="20"/>
      <c r="G37" s="20">
        <f>E37</f>
        <v>0</v>
      </c>
      <c r="H37" s="20"/>
      <c r="I37" s="21"/>
      <c r="L37" s="130"/>
      <c r="M37" s="130"/>
      <c r="N37" s="130"/>
      <c r="O37" s="130"/>
      <c r="P37" s="130"/>
    </row>
    <row r="38" spans="1:19" s="5" customFormat="1" ht="15.75" thickBot="1" x14ac:dyDescent="0.25">
      <c r="A38" s="22" t="s">
        <v>28</v>
      </c>
      <c r="B38" s="24"/>
      <c r="C38" s="24"/>
      <c r="D38" s="24"/>
      <c r="E38" s="24">
        <f>SUM(E35:E37)</f>
        <v>-97153650.019999966</v>
      </c>
      <c r="F38" s="24"/>
      <c r="G38" s="24">
        <f>SUM(G35:G37)</f>
        <v>-102258220.94999996</v>
      </c>
      <c r="H38" s="24"/>
      <c r="I38" s="25"/>
      <c r="L38" s="130"/>
      <c r="M38" s="130"/>
      <c r="N38" s="130"/>
      <c r="O38" s="130"/>
      <c r="P38" s="130"/>
    </row>
    <row r="39" spans="1:19" x14ac:dyDescent="0.25">
      <c r="A39" s="5"/>
      <c r="B39" s="31"/>
      <c r="C39" s="31"/>
      <c r="D39" s="31"/>
      <c r="E39" s="31"/>
      <c r="F39" s="31"/>
      <c r="G39" s="31"/>
      <c r="H39" s="31"/>
      <c r="I39" s="5"/>
      <c r="J39" s="129"/>
      <c r="K39" s="129"/>
      <c r="O39" s="1"/>
      <c r="P39" s="1"/>
    </row>
    <row r="40" spans="1:19" x14ac:dyDescent="0.25">
      <c r="I40" s="28"/>
      <c r="L40" s="1"/>
      <c r="M40" s="1"/>
      <c r="N40" s="1"/>
      <c r="O40" s="1"/>
      <c r="P40" s="1"/>
    </row>
    <row r="41" spans="1:19" x14ac:dyDescent="0.25">
      <c r="B41" s="129"/>
      <c r="C41" s="129"/>
      <c r="D41" s="129"/>
      <c r="E41" s="129"/>
      <c r="F41" s="129"/>
      <c r="G41" s="129"/>
      <c r="H41" s="129"/>
      <c r="L41" s="1"/>
      <c r="M41" s="1"/>
      <c r="N41" s="1"/>
      <c r="O41" s="1"/>
      <c r="P41" s="1"/>
    </row>
    <row r="42" spans="1:19" x14ac:dyDescent="0.25">
      <c r="B42" s="129"/>
      <c r="C42" s="129"/>
      <c r="D42" s="129"/>
      <c r="E42" s="129"/>
      <c r="F42" s="129"/>
      <c r="G42" s="129"/>
      <c r="H42" s="129"/>
      <c r="L42" s="1"/>
      <c r="M42" s="1"/>
      <c r="N42" s="1"/>
      <c r="O42" s="1"/>
      <c r="P42" s="1"/>
    </row>
    <row r="43" spans="1:19" x14ac:dyDescent="0.25">
      <c r="B43" s="129"/>
      <c r="C43" s="129"/>
      <c r="D43" s="129"/>
      <c r="E43" s="129"/>
      <c r="F43" s="129"/>
      <c r="G43" s="129"/>
      <c r="H43" s="129"/>
      <c r="L43" s="1"/>
      <c r="M43" s="1"/>
      <c r="N43" s="1"/>
      <c r="O43" s="1"/>
      <c r="P43" s="1"/>
    </row>
    <row r="44" spans="1:19" x14ac:dyDescent="0.25">
      <c r="B44" s="129"/>
      <c r="C44" s="1"/>
      <c r="D44" s="1"/>
      <c r="E44" s="1"/>
      <c r="F44" s="1"/>
      <c r="G44" s="1"/>
      <c r="H44" s="1"/>
      <c r="L44" s="1"/>
      <c r="M44" s="1"/>
      <c r="N44" s="1"/>
      <c r="O44" s="1"/>
      <c r="P44" s="1"/>
    </row>
    <row r="45" spans="1:19" x14ac:dyDescent="0.25">
      <c r="B45" s="129"/>
      <c r="C45" s="1"/>
      <c r="D45" s="1"/>
      <c r="E45" s="1"/>
      <c r="F45" s="1"/>
      <c r="G45" s="1"/>
      <c r="H45" s="1"/>
      <c r="L45" s="1"/>
      <c r="M45" s="1"/>
      <c r="N45" s="1"/>
      <c r="O45" s="1"/>
      <c r="P45" s="1"/>
    </row>
    <row r="46" spans="1:19" x14ac:dyDescent="0.25">
      <c r="B46" s="129"/>
      <c r="C46" s="129"/>
      <c r="D46" s="129"/>
      <c r="E46" s="129"/>
      <c r="F46" s="129"/>
      <c r="G46" s="129"/>
      <c r="H46" s="129"/>
      <c r="I46" s="129"/>
      <c r="L46" s="1"/>
      <c r="M46" s="1"/>
      <c r="N46" s="1"/>
      <c r="O46" s="1"/>
      <c r="P46" s="1"/>
    </row>
    <row r="47" spans="1:19" x14ac:dyDescent="0.25">
      <c r="B47" s="129"/>
      <c r="C47" s="129"/>
      <c r="D47" s="129"/>
      <c r="E47" s="129"/>
      <c r="F47" s="129"/>
      <c r="G47" s="129"/>
      <c r="H47" s="129"/>
      <c r="I47" s="129"/>
      <c r="L47" s="1"/>
      <c r="M47" s="1"/>
      <c r="N47" s="1"/>
      <c r="O47" s="1"/>
      <c r="P47" s="1"/>
    </row>
    <row r="48" spans="1:19" x14ac:dyDescent="0.25">
      <c r="B48" s="129"/>
      <c r="C48" s="129"/>
      <c r="D48" s="129"/>
      <c r="E48" s="129"/>
      <c r="F48" s="129"/>
      <c r="G48" s="129"/>
      <c r="H48" s="129"/>
      <c r="I48" s="129"/>
      <c r="L48" s="1"/>
      <c r="M48" s="1"/>
      <c r="N48" s="1"/>
      <c r="O48" s="1"/>
      <c r="P48" s="1"/>
    </row>
    <row r="49" spans="2:16" x14ac:dyDescent="0.25">
      <c r="B49" s="129"/>
      <c r="C49" s="129"/>
      <c r="D49" s="129"/>
      <c r="E49" s="129"/>
      <c r="F49" s="129"/>
      <c r="G49" s="129"/>
      <c r="H49" s="129"/>
      <c r="I49" s="129"/>
      <c r="L49" s="1"/>
      <c r="M49" s="1"/>
      <c r="N49" s="1"/>
      <c r="O49" s="1"/>
      <c r="P49" s="1"/>
    </row>
    <row r="50" spans="2:16" x14ac:dyDescent="0.25">
      <c r="B50" s="129"/>
      <c r="C50" s="129"/>
      <c r="D50" s="129"/>
      <c r="E50" s="129"/>
      <c r="F50" s="129"/>
      <c r="G50" s="129"/>
      <c r="H50" s="129"/>
      <c r="I50" s="129"/>
      <c r="L50" s="1"/>
      <c r="M50" s="1"/>
      <c r="N50" s="1"/>
      <c r="O50" s="1"/>
      <c r="P50" s="1"/>
    </row>
    <row r="51" spans="2:16" x14ac:dyDescent="0.25">
      <c r="B51" s="129"/>
      <c r="C51" s="129"/>
      <c r="D51" s="129"/>
      <c r="E51" s="129"/>
      <c r="F51" s="129"/>
      <c r="G51" s="1"/>
      <c r="H51" s="1"/>
      <c r="L51" s="1"/>
      <c r="M51" s="1"/>
      <c r="N51" s="1"/>
      <c r="O51" s="1"/>
      <c r="P51" s="1"/>
    </row>
    <row r="52" spans="2:16" x14ac:dyDescent="0.25">
      <c r="B52" s="129"/>
      <c r="C52" s="129"/>
      <c r="D52" s="129"/>
      <c r="E52" s="129"/>
      <c r="F52" s="129"/>
      <c r="G52" s="1"/>
      <c r="H52" s="1"/>
      <c r="L52" s="1"/>
      <c r="M52" s="1"/>
      <c r="N52" s="1"/>
      <c r="O52" s="1"/>
      <c r="P52" s="1"/>
    </row>
    <row r="53" spans="2:16" x14ac:dyDescent="0.25">
      <c r="B53" s="129"/>
      <c r="C53" s="129"/>
      <c r="D53" s="129"/>
      <c r="E53" s="129"/>
      <c r="F53" s="129"/>
      <c r="G53" s="1"/>
      <c r="H53" s="1"/>
      <c r="L53" s="1"/>
      <c r="M53" s="1"/>
      <c r="N53" s="1"/>
      <c r="O53" s="1"/>
      <c r="P53" s="1"/>
    </row>
    <row r="54" spans="2:16" x14ac:dyDescent="0.25">
      <c r="B54" s="129"/>
      <c r="C54" s="129"/>
      <c r="D54" s="129"/>
      <c r="E54" s="129"/>
      <c r="F54" s="129"/>
      <c r="G54" s="1"/>
      <c r="H54" s="1"/>
      <c r="L54" s="1"/>
      <c r="M54" s="1"/>
      <c r="N54" s="1"/>
      <c r="O54" s="1"/>
      <c r="P54" s="1"/>
    </row>
    <row r="55" spans="2:16" x14ac:dyDescent="0.25">
      <c r="B55" s="129"/>
      <c r="C55" s="129"/>
      <c r="D55" s="129"/>
      <c r="E55" s="129"/>
      <c r="F55" s="129"/>
      <c r="G55" s="129"/>
      <c r="H55" s="129"/>
      <c r="L55" s="1"/>
      <c r="M55" s="1"/>
      <c r="N55" s="1"/>
      <c r="O55" s="1"/>
      <c r="P55" s="1"/>
    </row>
    <row r="56" spans="2:16" x14ac:dyDescent="0.25">
      <c r="B56" s="129"/>
      <c r="C56" s="129"/>
      <c r="D56" s="129"/>
      <c r="E56" s="129"/>
      <c r="F56" s="129"/>
      <c r="G56" s="129"/>
      <c r="H56" s="129"/>
      <c r="L56" s="1"/>
      <c r="M56" s="1"/>
      <c r="N56" s="1"/>
      <c r="O56" s="1"/>
      <c r="P56" s="1"/>
    </row>
    <row r="57" spans="2:16" x14ac:dyDescent="0.25">
      <c r="B57" s="129"/>
      <c r="C57" s="129"/>
      <c r="D57" s="129"/>
      <c r="E57" s="129"/>
      <c r="F57" s="129"/>
      <c r="G57" s="129"/>
      <c r="H57" s="129"/>
      <c r="J57" s="129"/>
      <c r="L57" s="1"/>
      <c r="M57" s="1"/>
      <c r="N57" s="1"/>
      <c r="O57" s="1"/>
      <c r="P57" s="1"/>
    </row>
    <row r="58" spans="2:16" x14ac:dyDescent="0.25">
      <c r="B58" s="129"/>
      <c r="C58" s="129"/>
      <c r="D58" s="129"/>
      <c r="E58" s="129"/>
      <c r="F58" s="129"/>
      <c r="G58" s="129"/>
      <c r="H58" s="129"/>
      <c r="I58" s="129"/>
      <c r="J58" s="129"/>
      <c r="L58" s="1"/>
      <c r="M58" s="1"/>
      <c r="N58" s="1"/>
      <c r="O58" s="1"/>
      <c r="P58" s="1"/>
    </row>
    <row r="59" spans="2:16" x14ac:dyDescent="0.25">
      <c r="B59" s="129"/>
      <c r="C59" s="129"/>
      <c r="D59" s="129"/>
      <c r="E59" s="129"/>
      <c r="F59" s="129"/>
      <c r="G59" s="129"/>
      <c r="H59" s="129"/>
      <c r="I59" s="129"/>
      <c r="J59" s="129"/>
      <c r="L59" s="1"/>
      <c r="M59" s="1"/>
      <c r="N59" s="1"/>
      <c r="O59" s="1"/>
      <c r="P59" s="1"/>
    </row>
    <row r="60" spans="2:16" x14ac:dyDescent="0.25">
      <c r="B60" s="129"/>
      <c r="C60" s="129"/>
      <c r="D60" s="129"/>
      <c r="E60" s="129"/>
      <c r="F60" s="129"/>
      <c r="G60" s="129"/>
      <c r="H60" s="129"/>
      <c r="I60" s="129"/>
      <c r="J60" s="129"/>
      <c r="L60" s="1"/>
      <c r="M60" s="1"/>
      <c r="N60" s="1"/>
      <c r="O60" s="1"/>
      <c r="P60" s="1"/>
    </row>
    <row r="61" spans="2:16" x14ac:dyDescent="0.25">
      <c r="B61" s="129"/>
      <c r="C61" s="129"/>
      <c r="D61" s="129"/>
      <c r="E61" s="129"/>
      <c r="F61" s="129"/>
      <c r="G61" s="129"/>
      <c r="H61" s="129"/>
      <c r="I61" s="129"/>
      <c r="J61" s="129"/>
      <c r="L61" s="1"/>
      <c r="M61" s="1"/>
      <c r="N61" s="1"/>
      <c r="O61" s="1"/>
      <c r="P61" s="1"/>
    </row>
    <row r="62" spans="2:16" x14ac:dyDescent="0.25">
      <c r="B62" s="129"/>
      <c r="C62" s="129"/>
      <c r="D62" s="129"/>
      <c r="E62" s="129"/>
      <c r="F62" s="129"/>
      <c r="G62" s="129"/>
      <c r="H62" s="129"/>
      <c r="I62" s="129"/>
      <c r="J62" s="129"/>
      <c r="L62" s="1"/>
      <c r="M62" s="1"/>
      <c r="N62" s="1"/>
      <c r="O62" s="1"/>
      <c r="P62" s="1"/>
    </row>
    <row r="63" spans="2:16" x14ac:dyDescent="0.25">
      <c r="B63" s="129"/>
      <c r="C63" s="129"/>
      <c r="D63" s="129"/>
      <c r="E63" s="129"/>
      <c r="F63" s="129"/>
      <c r="G63" s="129"/>
      <c r="H63" s="129"/>
      <c r="I63" s="129"/>
      <c r="J63" s="129"/>
      <c r="L63" s="1"/>
      <c r="M63" s="1"/>
      <c r="N63" s="1"/>
      <c r="O63" s="1"/>
      <c r="P63" s="1"/>
    </row>
    <row r="64" spans="2:16" x14ac:dyDescent="0.25">
      <c r="B64" s="129"/>
      <c r="C64" s="129"/>
      <c r="D64" s="129"/>
      <c r="E64" s="129"/>
      <c r="F64" s="129"/>
      <c r="G64" s="129"/>
      <c r="H64" s="129"/>
      <c r="I64" s="129"/>
      <c r="J64" s="129"/>
      <c r="L64" s="1"/>
      <c r="M64" s="1"/>
      <c r="N64" s="1"/>
      <c r="O64" s="1"/>
      <c r="P64" s="1"/>
    </row>
    <row r="65" spans="2:16" x14ac:dyDescent="0.25">
      <c r="B65" s="129"/>
      <c r="C65" s="129"/>
      <c r="D65" s="129"/>
      <c r="E65" s="129"/>
      <c r="F65" s="129"/>
      <c r="G65" s="129"/>
      <c r="H65" s="129"/>
      <c r="I65" s="129"/>
      <c r="J65" s="129"/>
      <c r="L65" s="1"/>
      <c r="M65" s="1"/>
      <c r="N65" s="1"/>
      <c r="O65" s="1"/>
      <c r="P65" s="1"/>
    </row>
    <row r="66" spans="2:16" x14ac:dyDescent="0.25">
      <c r="B66" s="129"/>
      <c r="C66" s="129"/>
      <c r="D66" s="129"/>
      <c r="E66" s="129"/>
      <c r="F66" s="129"/>
      <c r="G66" s="129"/>
      <c r="H66" s="129"/>
      <c r="I66" s="129"/>
      <c r="J66" s="129"/>
      <c r="L66" s="1"/>
      <c r="M66" s="1"/>
      <c r="N66" s="1"/>
      <c r="O66" s="1"/>
      <c r="P66" s="1"/>
    </row>
    <row r="67" spans="2:16" x14ac:dyDescent="0.25">
      <c r="B67" s="129"/>
      <c r="C67" s="129"/>
      <c r="D67" s="129"/>
      <c r="E67" s="129"/>
      <c r="F67" s="129"/>
      <c r="G67" s="129"/>
      <c r="H67" s="129"/>
      <c r="I67" s="129"/>
      <c r="J67" s="129"/>
      <c r="L67" s="1"/>
      <c r="M67" s="1"/>
      <c r="N67" s="1"/>
      <c r="O67" s="1"/>
      <c r="P67" s="1"/>
    </row>
    <row r="68" spans="2:16" x14ac:dyDescent="0.25"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M68" s="1"/>
      <c r="N68" s="1"/>
      <c r="O68" s="1"/>
      <c r="P68" s="1"/>
    </row>
    <row r="69" spans="2:16" x14ac:dyDescent="0.25"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M69" s="1"/>
      <c r="N69" s="1"/>
      <c r="O69" s="1"/>
      <c r="P69" s="1"/>
    </row>
    <row r="70" spans="2:16" x14ac:dyDescent="0.25"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M70" s="1"/>
      <c r="N70" s="1"/>
      <c r="O70" s="1"/>
      <c r="P70" s="1"/>
    </row>
    <row r="71" spans="2:16" x14ac:dyDescent="0.25"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M71" s="1"/>
      <c r="N71" s="1"/>
      <c r="O71" s="1"/>
      <c r="P71" s="1"/>
    </row>
    <row r="72" spans="2:16" x14ac:dyDescent="0.25"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M72" s="1"/>
      <c r="N72" s="1"/>
      <c r="O72" s="1"/>
      <c r="P72" s="1"/>
    </row>
    <row r="73" spans="2:16" x14ac:dyDescent="0.25"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M73" s="1"/>
      <c r="N73" s="1"/>
      <c r="O73" s="1"/>
      <c r="P73" s="1"/>
    </row>
    <row r="74" spans="2:16" x14ac:dyDescent="0.25"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M74" s="1"/>
      <c r="N74" s="1"/>
      <c r="O74" s="1"/>
      <c r="P74" s="1"/>
    </row>
    <row r="75" spans="2:16" x14ac:dyDescent="0.25"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O75" s="1"/>
      <c r="P75" s="1"/>
    </row>
    <row r="76" spans="2:16" x14ac:dyDescent="0.25">
      <c r="B76" s="129"/>
      <c r="C76" s="129"/>
      <c r="D76" s="129"/>
      <c r="E76" s="129"/>
      <c r="F76" s="129"/>
      <c r="G76" s="129"/>
      <c r="H76" s="129"/>
      <c r="I76" s="28"/>
      <c r="J76" s="129"/>
      <c r="K76" s="129"/>
      <c r="O76" s="1"/>
      <c r="P76" s="1"/>
    </row>
    <row r="77" spans="2:16" x14ac:dyDescent="0.25">
      <c r="B77" s="129"/>
      <c r="C77" s="129"/>
      <c r="D77" s="129"/>
      <c r="E77" s="129"/>
      <c r="F77" s="129"/>
      <c r="G77" s="129"/>
      <c r="H77" s="129"/>
      <c r="I77" s="28"/>
      <c r="J77" s="129"/>
      <c r="K77" s="129"/>
      <c r="O77" s="1"/>
      <c r="P77" s="1"/>
    </row>
    <row r="78" spans="2:16" x14ac:dyDescent="0.25">
      <c r="B78" s="129"/>
      <c r="C78" s="129"/>
      <c r="D78" s="129"/>
      <c r="E78" s="129"/>
      <c r="F78" s="129"/>
      <c r="G78" s="129"/>
      <c r="H78" s="129"/>
      <c r="I78" s="28"/>
      <c r="J78" s="129"/>
      <c r="K78" s="129"/>
      <c r="O78" s="1"/>
      <c r="P78" s="1"/>
    </row>
    <row r="79" spans="2:16" x14ac:dyDescent="0.25">
      <c r="B79" s="129"/>
      <c r="C79" s="129"/>
      <c r="D79" s="129"/>
      <c r="E79" s="129"/>
      <c r="F79" s="129"/>
      <c r="G79" s="129"/>
      <c r="H79" s="129"/>
      <c r="I79" s="28"/>
      <c r="J79" s="129"/>
      <c r="K79" s="129"/>
      <c r="O79" s="1"/>
      <c r="P79" s="1"/>
    </row>
    <row r="80" spans="2:16" x14ac:dyDescent="0.25">
      <c r="B80" s="129"/>
      <c r="I80" s="28"/>
      <c r="J80" s="129"/>
      <c r="K80" s="129"/>
      <c r="O80" s="1"/>
      <c r="P80" s="1"/>
    </row>
    <row r="81" spans="2:16" x14ac:dyDescent="0.25">
      <c r="B81" s="129"/>
      <c r="I81" s="28"/>
      <c r="J81" s="129"/>
      <c r="K81" s="129"/>
      <c r="O81" s="1"/>
      <c r="P81" s="1"/>
    </row>
    <row r="82" spans="2:16" x14ac:dyDescent="0.25">
      <c r="B82" s="129"/>
      <c r="G82" s="1"/>
      <c r="H82" s="1"/>
      <c r="J82" s="129"/>
      <c r="K82" s="129"/>
      <c r="O82" s="1"/>
      <c r="P82" s="1"/>
    </row>
    <row r="83" spans="2:16" x14ac:dyDescent="0.25">
      <c r="B83" s="129"/>
      <c r="G83" s="1"/>
      <c r="H83" s="1"/>
      <c r="J83" s="129"/>
      <c r="K83" s="129"/>
      <c r="O83" s="1"/>
      <c r="P83" s="1"/>
    </row>
    <row r="84" spans="2:16" x14ac:dyDescent="0.25">
      <c r="B84" s="129"/>
      <c r="G84" s="1"/>
      <c r="H84" s="1"/>
      <c r="J84" s="129"/>
      <c r="K84" s="129"/>
      <c r="O84" s="1"/>
      <c r="P84" s="1"/>
    </row>
    <row r="85" spans="2:16" x14ac:dyDescent="0.25">
      <c r="B85" s="129"/>
      <c r="G85" s="1"/>
      <c r="H85" s="1"/>
      <c r="J85" s="129"/>
      <c r="K85" s="129"/>
      <c r="O85" s="1"/>
      <c r="P85" s="1"/>
    </row>
    <row r="86" spans="2:16" x14ac:dyDescent="0.25">
      <c r="B86" s="129"/>
      <c r="G86" s="1"/>
      <c r="H86" s="1"/>
      <c r="J86" s="129"/>
      <c r="K86" s="129"/>
      <c r="O86" s="1"/>
      <c r="P86" s="1"/>
    </row>
    <row r="87" spans="2:16" x14ac:dyDescent="0.25">
      <c r="B87" s="129"/>
      <c r="G87" s="1"/>
      <c r="H87" s="1"/>
      <c r="J87" s="129"/>
      <c r="K87" s="129"/>
      <c r="O87" s="1"/>
      <c r="P87" s="1"/>
    </row>
    <row r="88" spans="2:16" x14ac:dyDescent="0.25">
      <c r="B88" s="129"/>
      <c r="G88" s="1"/>
      <c r="H88" s="1"/>
      <c r="J88" s="129"/>
      <c r="K88" s="129"/>
      <c r="O88" s="1"/>
      <c r="P88" s="1"/>
    </row>
    <row r="89" spans="2:16" x14ac:dyDescent="0.25">
      <c r="B89" s="129"/>
      <c r="G89" s="1"/>
      <c r="H89" s="1"/>
      <c r="J89" s="129"/>
      <c r="K89" s="129"/>
      <c r="O89" s="1"/>
      <c r="P89" s="1"/>
    </row>
    <row r="90" spans="2:16" x14ac:dyDescent="0.25">
      <c r="B90" s="129"/>
      <c r="G90" s="1"/>
      <c r="H90" s="1"/>
      <c r="J90" s="129"/>
      <c r="K90" s="129"/>
      <c r="O90" s="1"/>
      <c r="P90" s="1"/>
    </row>
    <row r="91" spans="2:16" x14ac:dyDescent="0.25">
      <c r="B91" s="129"/>
      <c r="G91" s="1"/>
      <c r="H91" s="1"/>
      <c r="J91" s="129"/>
      <c r="K91" s="129"/>
      <c r="O91" s="1"/>
      <c r="P91" s="1"/>
    </row>
    <row r="92" spans="2:16" x14ac:dyDescent="0.25">
      <c r="B92" s="129"/>
      <c r="G92" s="1"/>
      <c r="H92" s="1"/>
      <c r="J92" s="129"/>
      <c r="K92" s="129"/>
      <c r="O92" s="1"/>
      <c r="P92" s="1"/>
    </row>
    <row r="93" spans="2:16" x14ac:dyDescent="0.25">
      <c r="G93" s="1"/>
      <c r="H93" s="1"/>
      <c r="J93" s="129"/>
      <c r="K93" s="129"/>
      <c r="O93" s="1"/>
      <c r="P93" s="1"/>
    </row>
    <row r="94" spans="2:16" x14ac:dyDescent="0.25">
      <c r="G94" s="1"/>
      <c r="H94" s="1"/>
      <c r="J94" s="129"/>
      <c r="K94" s="129"/>
      <c r="O94" s="1"/>
      <c r="P94" s="1"/>
    </row>
    <row r="95" spans="2:16" x14ac:dyDescent="0.25">
      <c r="G95" s="1"/>
      <c r="H95" s="1"/>
      <c r="J95" s="129"/>
      <c r="K95" s="129"/>
      <c r="O95" s="1"/>
      <c r="P95" s="1"/>
    </row>
    <row r="96" spans="2:16" x14ac:dyDescent="0.25">
      <c r="G96" s="1"/>
      <c r="H96" s="1"/>
      <c r="J96" s="129"/>
      <c r="K96" s="129"/>
      <c r="O96" s="1"/>
      <c r="P96" s="1"/>
    </row>
    <row r="97" spans="7:16" x14ac:dyDescent="0.25">
      <c r="G97" s="1"/>
      <c r="H97" s="1"/>
      <c r="J97" s="129"/>
      <c r="K97" s="129"/>
      <c r="O97" s="1"/>
      <c r="P97" s="1"/>
    </row>
    <row r="98" spans="7:16" x14ac:dyDescent="0.25">
      <c r="G98" s="1"/>
      <c r="H98" s="1"/>
      <c r="J98" s="129"/>
      <c r="K98" s="129"/>
      <c r="O98" s="1"/>
      <c r="P98" s="1"/>
    </row>
    <row r="99" spans="7:16" x14ac:dyDescent="0.25">
      <c r="G99" s="1"/>
      <c r="H99" s="1"/>
      <c r="J99" s="129"/>
      <c r="K99" s="129"/>
      <c r="O99" s="1"/>
      <c r="P99" s="1"/>
    </row>
    <row r="100" spans="7:16" x14ac:dyDescent="0.25">
      <c r="G100" s="1"/>
      <c r="H100" s="1"/>
      <c r="J100" s="129"/>
      <c r="K100" s="129"/>
      <c r="O100" s="1"/>
      <c r="P100" s="1"/>
    </row>
    <row r="101" spans="7:16" x14ac:dyDescent="0.25">
      <c r="G101" s="1"/>
      <c r="H101" s="1"/>
      <c r="J101" s="129"/>
      <c r="K101" s="129"/>
      <c r="O101" s="1"/>
      <c r="P101" s="1"/>
    </row>
    <row r="102" spans="7:16" x14ac:dyDescent="0.25">
      <c r="G102" s="1"/>
      <c r="H102" s="1"/>
      <c r="J102" s="129"/>
      <c r="K102" s="129"/>
      <c r="O102" s="1"/>
      <c r="P102" s="1"/>
    </row>
    <row r="103" spans="7:16" x14ac:dyDescent="0.25">
      <c r="G103" s="1"/>
      <c r="H103" s="1"/>
      <c r="J103" s="129"/>
      <c r="K103" s="129"/>
      <c r="O103" s="1"/>
      <c r="P103" s="1"/>
    </row>
    <row r="104" spans="7:16" x14ac:dyDescent="0.25">
      <c r="G104" s="1"/>
      <c r="H104" s="1"/>
      <c r="J104" s="129"/>
      <c r="K104" s="129"/>
      <c r="O104" s="1"/>
      <c r="P104" s="1"/>
    </row>
    <row r="105" spans="7:16" x14ac:dyDescent="0.25">
      <c r="G105" s="1"/>
      <c r="H105" s="1"/>
      <c r="J105" s="129"/>
      <c r="K105" s="129"/>
      <c r="O105" s="1"/>
      <c r="P105" s="1"/>
    </row>
    <row r="106" spans="7:16" x14ac:dyDescent="0.25">
      <c r="G106" s="1"/>
      <c r="H106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7"/>
  <sheetViews>
    <sheetView workbookViewId="0">
      <selection activeCell="A4" sqref="A4:I4"/>
    </sheetView>
  </sheetViews>
  <sheetFormatPr defaultRowHeight="15" x14ac:dyDescent="0.25"/>
  <cols>
    <col min="1" max="1" width="49.7109375" style="1" bestFit="1" customWidth="1"/>
    <col min="2" max="3" width="15" style="28" bestFit="1" customWidth="1"/>
    <col min="4" max="5" width="13.28515625" style="28" bestFit="1" customWidth="1"/>
    <col min="6" max="6" width="17.7109375" style="28" customWidth="1"/>
    <col min="7" max="7" width="13.5703125" style="28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9" ht="18.75" x14ac:dyDescent="0.3">
      <c r="A2" s="151" t="s">
        <v>79</v>
      </c>
      <c r="B2" s="151"/>
      <c r="C2" s="151"/>
      <c r="D2" s="151"/>
      <c r="E2" s="151"/>
      <c r="F2" s="151"/>
      <c r="G2" s="151"/>
      <c r="H2" s="151"/>
      <c r="I2" s="151"/>
    </row>
    <row r="3" spans="1:9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</row>
    <row r="4" spans="1:9" x14ac:dyDescent="0.25">
      <c r="A4" s="152">
        <v>45626</v>
      </c>
      <c r="B4" s="152"/>
      <c r="C4" s="152"/>
      <c r="D4" s="152"/>
      <c r="E4" s="152"/>
      <c r="F4" s="152"/>
      <c r="G4" s="152"/>
      <c r="H4" s="152"/>
      <c r="I4" s="152"/>
    </row>
    <row r="5" spans="1:9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</row>
    <row r="6" spans="1:9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</row>
    <row r="7" spans="1:9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" t="s">
        <v>7</v>
      </c>
      <c r="I7" s="4" t="s">
        <v>31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3" t="str">
        <f>IF(C8=0,"NA",H8/C8)</f>
        <v>NA</v>
      </c>
    </row>
    <row r="9" spans="1:9" s="5" customFormat="1" x14ac:dyDescent="0.2">
      <c r="A9" s="6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0</v>
      </c>
      <c r="I9" s="33" t="str">
        <f t="shared" ref="I9:I11" si="2">IF(C9=0,"NA",H9/C9)</f>
        <v>NA</v>
      </c>
    </row>
    <row r="10" spans="1:9" s="5" customFormat="1" ht="24.95" customHeight="1" x14ac:dyDescent="0.2">
      <c r="A10" s="10" t="s">
        <v>12</v>
      </c>
      <c r="B10" s="11">
        <f t="shared" ref="B10:H10" si="3">SUM(B8:B9)</f>
        <v>0</v>
      </c>
      <c r="C10" s="11">
        <f t="shared" si="3"/>
        <v>0</v>
      </c>
      <c r="D10" s="11">
        <f t="shared" si="3"/>
        <v>0</v>
      </c>
      <c r="E10" s="11">
        <f t="shared" si="3"/>
        <v>0</v>
      </c>
      <c r="F10" s="11">
        <f t="shared" si="3"/>
        <v>0</v>
      </c>
      <c r="G10" s="11">
        <f t="shared" si="3"/>
        <v>0</v>
      </c>
      <c r="H10" s="11">
        <f t="shared" si="3"/>
        <v>0</v>
      </c>
      <c r="I10" s="34" t="str">
        <f t="shared" si="2"/>
        <v>NA</v>
      </c>
    </row>
    <row r="11" spans="1:9" s="5" customFormat="1" x14ac:dyDescent="0.2">
      <c r="A11" s="26" t="s">
        <v>25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f t="shared" si="0"/>
        <v>0</v>
      </c>
      <c r="H11" s="13">
        <f t="shared" si="1"/>
        <v>0</v>
      </c>
      <c r="I11" s="35" t="str">
        <f t="shared" si="2"/>
        <v>NA</v>
      </c>
    </row>
    <row r="12" spans="1:9" s="5" customFormat="1" x14ac:dyDescent="0.2">
      <c r="A12" s="27" t="s">
        <v>24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" si="4">SUM(E12:F12)</f>
        <v>0</v>
      </c>
      <c r="H12" s="9">
        <f t="shared" ref="H12" si="5">C12-G12</f>
        <v>0</v>
      </c>
      <c r="I12" s="36" t="str">
        <f t="shared" ref="I12" si="6">IF(C12=0,"NA",H12/C12)</f>
        <v>NA</v>
      </c>
    </row>
    <row r="13" spans="1:9" s="5" customFormat="1" ht="24.95" customHeight="1" x14ac:dyDescent="0.2">
      <c r="A13" s="10" t="s">
        <v>26</v>
      </c>
      <c r="B13" s="11">
        <f>SUM(B11:B12)</f>
        <v>0</v>
      </c>
      <c r="C13" s="11">
        <f t="shared" ref="C13:H13" si="7">SUM(C11:C12)</f>
        <v>0</v>
      </c>
      <c r="D13" s="11">
        <f t="shared" si="7"/>
        <v>0</v>
      </c>
      <c r="E13" s="11">
        <f t="shared" si="7"/>
        <v>0</v>
      </c>
      <c r="F13" s="11">
        <f t="shared" si="7"/>
        <v>0</v>
      </c>
      <c r="G13" s="11">
        <f t="shared" si="7"/>
        <v>0</v>
      </c>
      <c r="H13" s="11">
        <f t="shared" si="7"/>
        <v>0</v>
      </c>
      <c r="I13" s="34" t="str">
        <f t="shared" ref="I13" si="8">IF(C13=0,"NA",H13/C13)</f>
        <v>NA</v>
      </c>
    </row>
    <row r="14" spans="1:9" s="5" customFormat="1" x14ac:dyDescent="0.2">
      <c r="A14" s="12"/>
      <c r="B14" s="13"/>
      <c r="C14" s="13"/>
      <c r="D14" s="13"/>
      <c r="E14" s="13"/>
      <c r="F14" s="13"/>
      <c r="G14" s="13"/>
      <c r="H14" s="14"/>
      <c r="I14" s="15"/>
    </row>
    <row r="15" spans="1:9" s="5" customFormat="1" x14ac:dyDescent="0.2">
      <c r="A15" s="6" t="s">
        <v>27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0</v>
      </c>
      <c r="F15" s="7"/>
      <c r="G15" s="7">
        <f>G10-G13</f>
        <v>0</v>
      </c>
      <c r="H15" s="7">
        <f>H10-H13</f>
        <v>0</v>
      </c>
      <c r="I15" s="16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7"/>
    </row>
    <row r="17" spans="1:10" s="5" customFormat="1" ht="24.95" customHeight="1" x14ac:dyDescent="0.2">
      <c r="A17" s="18" t="s">
        <v>67</v>
      </c>
      <c r="B17" s="20"/>
      <c r="C17" s="20"/>
      <c r="D17" s="20"/>
      <c r="E17" s="20">
        <v>0</v>
      </c>
      <c r="F17" s="20"/>
      <c r="G17" s="20">
        <f>E17</f>
        <v>0</v>
      </c>
      <c r="H17" s="19"/>
      <c r="I17" s="21"/>
    </row>
    <row r="18" spans="1:10" s="5" customFormat="1" ht="24.95" customHeight="1" thickBot="1" x14ac:dyDescent="0.25">
      <c r="A18" s="22" t="s">
        <v>28</v>
      </c>
      <c r="B18" s="24"/>
      <c r="C18" s="24"/>
      <c r="D18" s="24"/>
      <c r="E18" s="24">
        <f>SUM(E15:E17)</f>
        <v>0</v>
      </c>
      <c r="F18" s="24"/>
      <c r="G18" s="24">
        <f>SUM(G15:G17)</f>
        <v>0</v>
      </c>
      <c r="H18" s="23"/>
      <c r="I18" s="25"/>
    </row>
    <row r="19" spans="1:10" s="5" customFormat="1" x14ac:dyDescent="0.2">
      <c r="B19" s="31"/>
      <c r="C19" s="31"/>
      <c r="D19" s="31"/>
      <c r="E19" s="31"/>
      <c r="F19" s="31"/>
      <c r="G19" s="31"/>
    </row>
    <row r="20" spans="1:10" s="5" customFormat="1" x14ac:dyDescent="0.2">
      <c r="A20" s="29"/>
      <c r="B20" s="31"/>
      <c r="C20" s="31"/>
      <c r="D20" s="31"/>
      <c r="E20" s="31"/>
      <c r="F20" s="31"/>
      <c r="G20" s="31"/>
    </row>
    <row r="21" spans="1:10" s="5" customFormat="1" x14ac:dyDescent="0.2">
      <c r="B21" s="31"/>
      <c r="C21" s="31"/>
      <c r="D21" s="31"/>
      <c r="E21" s="31"/>
      <c r="F21" s="31"/>
      <c r="G21" s="31"/>
      <c r="H21" s="31"/>
      <c r="I21" s="31"/>
    </row>
    <row r="22" spans="1:10" x14ac:dyDescent="0.25">
      <c r="H22" s="28"/>
      <c r="I22" s="28"/>
    </row>
    <row r="23" spans="1:10" s="5" customFormat="1" x14ac:dyDescent="0.2">
      <c r="B23" s="31"/>
      <c r="C23" s="31"/>
      <c r="D23" s="31"/>
      <c r="E23" s="31"/>
      <c r="F23" s="31"/>
      <c r="G23" s="31"/>
      <c r="H23" s="31"/>
      <c r="I23" s="31"/>
    </row>
    <row r="24" spans="1:10" x14ac:dyDescent="0.25">
      <c r="H24" s="28"/>
      <c r="I24" s="28"/>
      <c r="J24" s="28"/>
    </row>
    <row r="26" spans="1:10" x14ac:dyDescent="0.25">
      <c r="H26" s="28"/>
      <c r="I26" s="28"/>
    </row>
    <row r="27" spans="1:10" x14ac:dyDescent="0.25">
      <c r="H27" s="28"/>
      <c r="I27" s="28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47"/>
  <sheetViews>
    <sheetView workbookViewId="0">
      <selection activeCell="A22" sqref="A22:XFD22"/>
    </sheetView>
  </sheetViews>
  <sheetFormatPr defaultRowHeight="15" x14ac:dyDescent="0.25"/>
  <cols>
    <col min="1" max="1" width="52.28515625" style="1" bestFit="1" customWidth="1"/>
    <col min="2" max="3" width="15.28515625" style="28" bestFit="1" customWidth="1"/>
    <col min="4" max="4" width="14.5703125" style="28" bestFit="1" customWidth="1"/>
    <col min="5" max="5" width="14.7109375" style="28" bestFit="1" customWidth="1"/>
    <col min="6" max="6" width="17.5703125" style="28" customWidth="1"/>
    <col min="7" max="7" width="14.7109375" style="28" bestFit="1" customWidth="1"/>
    <col min="8" max="8" width="14.5703125" style="28" bestFit="1" customWidth="1"/>
    <col min="9" max="9" width="14.85546875" style="1" customWidth="1"/>
    <col min="10" max="10" width="3.5703125" style="44" customWidth="1"/>
    <col min="11" max="11" width="25.7109375" style="1" bestFit="1" customWidth="1"/>
    <col min="12" max="13" width="14.5703125" style="129" bestFit="1" customWidth="1"/>
    <col min="14" max="14" width="12.85546875" style="129" bestFit="1" customWidth="1"/>
    <col min="15" max="15" width="13.5703125" style="129" bestFit="1" customWidth="1"/>
    <col min="16" max="16" width="14.5703125" style="129" bestFit="1" customWidth="1"/>
    <col min="17" max="17" width="3.7109375" style="1" customWidth="1"/>
    <col min="18" max="18" width="9.7109375" style="1" bestFit="1" customWidth="1"/>
    <col min="19" max="19" width="9.140625" style="1"/>
    <col min="20" max="20" width="10.5703125" style="1" bestFit="1" customWidth="1"/>
    <col min="21" max="21" width="13.28515625" style="1" bestFit="1" customWidth="1"/>
    <col min="22" max="16384" width="9.140625" style="1"/>
  </cols>
  <sheetData>
    <row r="1" spans="1:22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38"/>
    </row>
    <row r="2" spans="1:22" ht="18.75" x14ac:dyDescent="0.3">
      <c r="A2" s="151" t="s">
        <v>80</v>
      </c>
      <c r="B2" s="151"/>
      <c r="C2" s="151"/>
      <c r="D2" s="151"/>
      <c r="E2" s="151"/>
      <c r="F2" s="151"/>
      <c r="G2" s="151"/>
      <c r="H2" s="151"/>
      <c r="I2" s="151"/>
      <c r="J2" s="39"/>
    </row>
    <row r="3" spans="1:22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38"/>
    </row>
    <row r="4" spans="1:22" x14ac:dyDescent="0.25">
      <c r="A4" s="152">
        <v>45626</v>
      </c>
      <c r="B4" s="152"/>
      <c r="C4" s="152"/>
      <c r="D4" s="152"/>
      <c r="E4" s="152"/>
      <c r="F4" s="152"/>
      <c r="G4" s="152"/>
      <c r="H4" s="152"/>
      <c r="I4" s="152"/>
      <c r="J4" s="40"/>
    </row>
    <row r="5" spans="1:22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38"/>
    </row>
    <row r="6" spans="1:22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  <c r="J6" s="38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J7" s="41"/>
      <c r="L7" s="130"/>
      <c r="M7" s="130"/>
      <c r="N7" s="130"/>
      <c r="O7" s="130"/>
      <c r="P7" s="130"/>
    </row>
    <row r="8" spans="1:22" s="5" customFormat="1" x14ac:dyDescent="0.2">
      <c r="A8" s="6" t="s">
        <v>8</v>
      </c>
      <c r="B8" s="146">
        <v>429000000</v>
      </c>
      <c r="C8" s="146">
        <v>429000000</v>
      </c>
      <c r="D8" s="146">
        <v>10891.25</v>
      </c>
      <c r="E8" s="146">
        <v>38572617.770000003</v>
      </c>
      <c r="F8" s="146">
        <v>0</v>
      </c>
      <c r="G8" s="7">
        <f t="shared" ref="G8:G21" si="0">SUM(E8:F8)</f>
        <v>38572617.770000003</v>
      </c>
      <c r="H8" s="7">
        <f t="shared" ref="H8:H11" si="1">C8-G8</f>
        <v>390427382.23000002</v>
      </c>
      <c r="I8" s="33">
        <f>IF(C8=0,"NA",H8/C8)</f>
        <v>0.91008713806526809</v>
      </c>
      <c r="J8" s="42"/>
      <c r="K8"/>
      <c r="L8" s="131"/>
      <c r="M8" s="131"/>
      <c r="N8" s="131"/>
      <c r="O8" s="131"/>
      <c r="P8" s="131"/>
      <c r="R8" s="130"/>
      <c r="S8" s="130"/>
      <c r="T8" s="130"/>
      <c r="U8" s="130"/>
      <c r="V8" s="130"/>
    </row>
    <row r="9" spans="1:22" s="5" customFormat="1" x14ac:dyDescent="0.2">
      <c r="A9" s="6" t="s">
        <v>9</v>
      </c>
      <c r="B9" s="147">
        <v>2800000</v>
      </c>
      <c r="C9" s="147">
        <v>2800000</v>
      </c>
      <c r="D9" s="147">
        <v>0</v>
      </c>
      <c r="E9" s="147">
        <v>10425221.16</v>
      </c>
      <c r="F9" s="147">
        <v>0</v>
      </c>
      <c r="G9" s="7">
        <f t="shared" si="0"/>
        <v>10425221.16</v>
      </c>
      <c r="H9" s="7">
        <f t="shared" si="1"/>
        <v>-7625221.1600000001</v>
      </c>
      <c r="I9" s="33">
        <f t="shared" ref="I9:I22" si="2">IF(C9=0,"NA",H9/C9)</f>
        <v>-2.7232932714285716</v>
      </c>
      <c r="J9" s="42"/>
      <c r="K9"/>
      <c r="L9" s="131"/>
      <c r="M9" s="131"/>
      <c r="N9" s="131"/>
      <c r="O9" s="131"/>
      <c r="P9" s="131"/>
      <c r="R9" s="130"/>
      <c r="S9" s="130"/>
      <c r="T9" s="130"/>
      <c r="U9" s="130"/>
      <c r="V9" s="130"/>
    </row>
    <row r="10" spans="1:22" s="5" customFormat="1" x14ac:dyDescent="0.2">
      <c r="A10" s="6" t="s">
        <v>10</v>
      </c>
      <c r="B10" s="147">
        <v>0</v>
      </c>
      <c r="C10" s="147">
        <v>0</v>
      </c>
      <c r="D10" s="147">
        <v>0</v>
      </c>
      <c r="E10" s="147">
        <v>0</v>
      </c>
      <c r="F10" s="147">
        <v>0</v>
      </c>
      <c r="G10" s="7">
        <f t="shared" si="0"/>
        <v>0</v>
      </c>
      <c r="H10" s="7">
        <f t="shared" si="1"/>
        <v>0</v>
      </c>
      <c r="I10" s="33" t="str">
        <f t="shared" si="2"/>
        <v>NA</v>
      </c>
      <c r="J10" s="42"/>
      <c r="K10"/>
      <c r="L10" s="131"/>
      <c r="M10" s="131"/>
      <c r="N10" s="131"/>
      <c r="O10" s="131"/>
      <c r="P10" s="131"/>
      <c r="R10" s="130"/>
      <c r="S10" s="130"/>
      <c r="T10" s="130"/>
      <c r="U10" s="130"/>
      <c r="V10" s="130"/>
    </row>
    <row r="11" spans="1:22" s="5" customFormat="1" x14ac:dyDescent="0.2">
      <c r="A11" s="6" t="s">
        <v>11</v>
      </c>
      <c r="B11" s="148">
        <v>0</v>
      </c>
      <c r="C11" s="148">
        <v>21500000</v>
      </c>
      <c r="D11" s="148">
        <v>21500000</v>
      </c>
      <c r="E11" s="148">
        <v>41500000</v>
      </c>
      <c r="F11" s="148">
        <v>0</v>
      </c>
      <c r="G11" s="7">
        <f t="shared" si="0"/>
        <v>41500000</v>
      </c>
      <c r="H11" s="7">
        <f t="shared" si="1"/>
        <v>-20000000</v>
      </c>
      <c r="I11" s="33">
        <f t="shared" si="2"/>
        <v>-0.93023255813953487</v>
      </c>
      <c r="J11" s="42"/>
      <c r="K11"/>
      <c r="L11" s="131"/>
      <c r="M11" s="131"/>
      <c r="N11" s="131"/>
      <c r="O11" s="131"/>
      <c r="P11" s="131"/>
      <c r="R11" s="130"/>
      <c r="S11" s="130"/>
      <c r="T11" s="130"/>
      <c r="U11" s="130"/>
      <c r="V11" s="130"/>
    </row>
    <row r="12" spans="1:22" s="5" customFormat="1" ht="24.95" customHeight="1" x14ac:dyDescent="0.25">
      <c r="A12" s="10" t="s">
        <v>12</v>
      </c>
      <c r="B12" s="11">
        <f>SUM(B8:B11)</f>
        <v>431800000</v>
      </c>
      <c r="C12" s="11">
        <f t="shared" ref="C12:F12" si="3">SUM(C8:C11)</f>
        <v>453300000</v>
      </c>
      <c r="D12" s="11">
        <f t="shared" si="3"/>
        <v>21510891.25</v>
      </c>
      <c r="E12" s="11">
        <f t="shared" si="3"/>
        <v>90497838.930000007</v>
      </c>
      <c r="F12" s="11">
        <f t="shared" si="3"/>
        <v>0</v>
      </c>
      <c r="G12" s="11">
        <f t="shared" ref="G12:H12" si="4">SUM(G8:G11)</f>
        <v>90497838.930000007</v>
      </c>
      <c r="H12" s="11">
        <f t="shared" si="4"/>
        <v>362802161.06999999</v>
      </c>
      <c r="I12" s="34">
        <f t="shared" si="2"/>
        <v>0.80035773454665782</v>
      </c>
      <c r="L12" s="1"/>
      <c r="M12" s="1"/>
      <c r="N12" s="1"/>
      <c r="O12" s="1"/>
      <c r="P12" s="1"/>
      <c r="Q12" s="1"/>
      <c r="R12" s="130"/>
      <c r="S12" s="130"/>
      <c r="T12" s="130"/>
      <c r="U12" s="130"/>
      <c r="V12" s="130"/>
    </row>
    <row r="13" spans="1:22" s="5" customFormat="1" x14ac:dyDescent="0.2">
      <c r="A13" s="12" t="s">
        <v>13</v>
      </c>
      <c r="B13" s="13">
        <v>0</v>
      </c>
      <c r="C13" s="13">
        <v>9920000</v>
      </c>
      <c r="D13" s="13">
        <v>251905.56</v>
      </c>
      <c r="E13" s="13">
        <v>1358595.62</v>
      </c>
      <c r="F13" s="13">
        <v>1259890.69</v>
      </c>
      <c r="G13" s="7">
        <f t="shared" si="0"/>
        <v>2618486.31</v>
      </c>
      <c r="H13" s="7">
        <f t="shared" ref="H13:H21" si="5">C13-G13</f>
        <v>7301513.6899999995</v>
      </c>
      <c r="I13" s="37">
        <f t="shared" si="2"/>
        <v>0.73603968649193541</v>
      </c>
      <c r="J13" s="42"/>
      <c r="R13" s="130"/>
      <c r="S13" s="130"/>
      <c r="T13" s="130"/>
      <c r="U13" s="130"/>
      <c r="V13" s="130"/>
    </row>
    <row r="14" spans="1:22" s="5" customFormat="1" x14ac:dyDescent="0.25">
      <c r="A14" s="6" t="s">
        <v>15</v>
      </c>
      <c r="B14" s="7">
        <v>0</v>
      </c>
      <c r="C14" s="7">
        <v>76541096.320000008</v>
      </c>
      <c r="D14" s="7">
        <v>766221.02</v>
      </c>
      <c r="E14" s="7">
        <v>3238023.27</v>
      </c>
      <c r="F14" s="7">
        <v>35486115.259999998</v>
      </c>
      <c r="G14" s="7">
        <f t="shared" ref="G14" si="6">SUM(E14:F14)</f>
        <v>38724138.530000001</v>
      </c>
      <c r="H14" s="7">
        <f t="shared" ref="H14:H15" si="7">C14-G14</f>
        <v>37816957.790000007</v>
      </c>
      <c r="I14" s="37">
        <f t="shared" ref="I14:I15" si="8">IF(C14=0,"NA",H14/C14)</f>
        <v>0.49407389766010607</v>
      </c>
      <c r="J14" s="42"/>
      <c r="K14" s="1"/>
      <c r="L14" s="1"/>
      <c r="M14" s="1"/>
      <c r="R14" s="130"/>
      <c r="S14" s="130"/>
      <c r="T14" s="130"/>
      <c r="U14" s="130"/>
      <c r="V14" s="130"/>
    </row>
    <row r="15" spans="1:22" s="5" customFormat="1" x14ac:dyDescent="0.25">
      <c r="A15" s="149" t="s">
        <v>18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ref="G15" si="9">SUM(E15:F15)</f>
        <v>0</v>
      </c>
      <c r="H15" s="7">
        <f t="shared" si="7"/>
        <v>0</v>
      </c>
      <c r="I15" s="37" t="str">
        <f t="shared" si="8"/>
        <v>NA</v>
      </c>
      <c r="J15" s="42"/>
      <c r="K15" s="1"/>
      <c r="L15" s="1"/>
      <c r="M15" s="1"/>
      <c r="N15" s="1"/>
      <c r="R15" s="130"/>
      <c r="S15" s="130"/>
      <c r="T15" s="130"/>
      <c r="U15" s="130"/>
      <c r="V15" s="130"/>
    </row>
    <row r="16" spans="1:22" s="5" customFormat="1" x14ac:dyDescent="0.25">
      <c r="A16" s="6" t="s">
        <v>70</v>
      </c>
      <c r="B16" s="7">
        <v>10045882.43</v>
      </c>
      <c r="C16" s="7">
        <v>10993913.92</v>
      </c>
      <c r="D16" s="7">
        <v>70137.23</v>
      </c>
      <c r="E16" s="7">
        <v>354494.14</v>
      </c>
      <c r="F16" s="7">
        <v>32075.469999999998</v>
      </c>
      <c r="G16" s="7">
        <f t="shared" si="0"/>
        <v>386569.61</v>
      </c>
      <c r="H16" s="7">
        <f t="shared" si="5"/>
        <v>10607344.310000001</v>
      </c>
      <c r="I16" s="37">
        <f t="shared" ref="I16" si="10">IF(C16=0,"NA",H16/C16)</f>
        <v>0.96483785366949648</v>
      </c>
      <c r="J16" s="42"/>
      <c r="K16" s="129"/>
      <c r="L16" s="129"/>
      <c r="M16" s="129"/>
      <c r="N16" s="129"/>
      <c r="O16" s="1"/>
      <c r="P16" s="1"/>
      <c r="Q16" s="1"/>
      <c r="R16" s="1"/>
      <c r="S16" s="130"/>
      <c r="T16" s="130"/>
      <c r="U16" s="130"/>
      <c r="V16" s="130"/>
    </row>
    <row r="17" spans="1:22" s="5" customFormat="1" x14ac:dyDescent="0.25">
      <c r="A17" s="6" t="s">
        <v>21</v>
      </c>
      <c r="B17" s="7">
        <v>1000000</v>
      </c>
      <c r="C17" s="7">
        <v>9270947.9499999993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5"/>
        <v>9270947.9499999993</v>
      </c>
      <c r="I17" s="37">
        <f>IF(C17=0,"NA",H17/C17)</f>
        <v>1</v>
      </c>
      <c r="J17" s="42"/>
      <c r="K17" s="1"/>
      <c r="L17" s="129"/>
      <c r="M17" s="129"/>
      <c r="N17" s="129"/>
      <c r="O17" s="129"/>
      <c r="P17" s="129"/>
      <c r="Q17" s="1"/>
      <c r="R17" s="1"/>
      <c r="S17" s="129"/>
      <c r="T17" s="130"/>
      <c r="U17" s="130"/>
      <c r="V17" s="130"/>
    </row>
    <row r="18" spans="1:22" s="5" customFormat="1" x14ac:dyDescent="0.25">
      <c r="A18" s="6" t="s">
        <v>22</v>
      </c>
      <c r="B18" s="7">
        <v>18000000</v>
      </c>
      <c r="C18" s="7">
        <v>18000000</v>
      </c>
      <c r="D18" s="7">
        <v>269374.53000000003</v>
      </c>
      <c r="E18" s="7">
        <v>1080798.1200000001</v>
      </c>
      <c r="F18" s="7">
        <v>8959052.9199999999</v>
      </c>
      <c r="G18" s="7">
        <f t="shared" si="0"/>
        <v>10039851.039999999</v>
      </c>
      <c r="H18" s="7">
        <f t="shared" si="5"/>
        <v>7960148.9600000009</v>
      </c>
      <c r="I18" s="37">
        <f>IF(C18=0,"NA",H18/C18)</f>
        <v>0.44223049777777784</v>
      </c>
      <c r="J18" s="42"/>
      <c r="K18" s="1"/>
      <c r="L18" s="129"/>
      <c r="M18" s="129"/>
      <c r="N18" s="129"/>
      <c r="O18" s="129"/>
      <c r="P18" s="129"/>
      <c r="Q18" s="1"/>
      <c r="R18" s="1"/>
      <c r="S18" s="129"/>
      <c r="T18" s="130"/>
      <c r="U18" s="130"/>
      <c r="V18" s="130"/>
    </row>
    <row r="19" spans="1:22" s="5" customFormat="1" x14ac:dyDescent="0.25">
      <c r="A19" s="6" t="s">
        <v>73</v>
      </c>
      <c r="B19" s="7">
        <v>729323049.63999987</v>
      </c>
      <c r="C19" s="7">
        <v>951239438.95000005</v>
      </c>
      <c r="D19" s="7">
        <v>23810112.77</v>
      </c>
      <c r="E19" s="7">
        <v>86103440.089999974</v>
      </c>
      <c r="F19" s="7">
        <v>294468837.43000001</v>
      </c>
      <c r="G19" s="7">
        <f t="shared" si="0"/>
        <v>380572277.51999998</v>
      </c>
      <c r="H19" s="7">
        <f t="shared" si="5"/>
        <v>570667161.43000007</v>
      </c>
      <c r="I19" s="37">
        <f t="shared" si="2"/>
        <v>0.59991957656835126</v>
      </c>
      <c r="J19" s="42"/>
      <c r="K19" s="1"/>
      <c r="L19" s="129"/>
      <c r="M19" s="129"/>
      <c r="N19" s="129"/>
      <c r="O19" s="129"/>
      <c r="P19" s="129"/>
      <c r="Q19" s="1"/>
      <c r="R19" s="129"/>
      <c r="S19" s="129"/>
      <c r="T19" s="130"/>
      <c r="U19" s="130"/>
      <c r="V19" s="130"/>
    </row>
    <row r="20" spans="1:22" s="5" customFormat="1" x14ac:dyDescent="0.25">
      <c r="A20" s="6" t="s">
        <v>25</v>
      </c>
      <c r="B20" s="7">
        <v>83403442</v>
      </c>
      <c r="C20" s="7">
        <v>83403442</v>
      </c>
      <c r="D20" s="7">
        <v>0</v>
      </c>
      <c r="E20" s="7">
        <v>0</v>
      </c>
      <c r="F20" s="7">
        <v>0</v>
      </c>
      <c r="G20" s="7">
        <f t="shared" si="0"/>
        <v>0</v>
      </c>
      <c r="H20" s="7">
        <f t="shared" si="5"/>
        <v>83403442</v>
      </c>
      <c r="I20" s="37">
        <f t="shared" si="2"/>
        <v>1</v>
      </c>
      <c r="J20" s="42"/>
      <c r="K20" s="129"/>
      <c r="L20" s="129"/>
      <c r="M20" s="129"/>
      <c r="N20" s="129"/>
      <c r="O20" s="1"/>
      <c r="P20" s="1"/>
      <c r="Q20" s="129"/>
      <c r="R20" s="129"/>
      <c r="S20" s="129"/>
      <c r="T20" s="1"/>
      <c r="U20" s="130"/>
      <c r="V20" s="130"/>
    </row>
    <row r="21" spans="1:22" s="5" customFormat="1" x14ac:dyDescent="0.25">
      <c r="A21" s="6" t="s">
        <v>24</v>
      </c>
      <c r="B21" s="7">
        <v>5572080</v>
      </c>
      <c r="C21" s="7">
        <v>6006645.9800000004</v>
      </c>
      <c r="D21" s="7">
        <v>0</v>
      </c>
      <c r="E21" s="7">
        <v>0</v>
      </c>
      <c r="F21" s="7">
        <v>0</v>
      </c>
      <c r="G21" s="7">
        <f t="shared" si="0"/>
        <v>0</v>
      </c>
      <c r="H21" s="7">
        <f t="shared" si="5"/>
        <v>6006645.9800000004</v>
      </c>
      <c r="I21" s="37">
        <f t="shared" si="2"/>
        <v>1</v>
      </c>
      <c r="J21" s="42"/>
      <c r="K21" s="129"/>
      <c r="L21" s="129"/>
      <c r="M21" s="129"/>
      <c r="N21" s="129"/>
      <c r="O21" s="1"/>
      <c r="P21" s="1"/>
      <c r="Q21" s="129"/>
      <c r="R21" s="129"/>
      <c r="S21" s="129"/>
      <c r="T21" s="1"/>
      <c r="U21" s="130"/>
      <c r="V21" s="130"/>
    </row>
    <row r="22" spans="1:22" s="5" customFormat="1" ht="24.95" customHeight="1" x14ac:dyDescent="0.25">
      <c r="A22" s="10" t="s">
        <v>26</v>
      </c>
      <c r="B22" s="11">
        <f t="shared" ref="B22:H22" si="11">SUM(B13:B21)</f>
        <v>847344454.06999981</v>
      </c>
      <c r="C22" s="11">
        <f t="shared" si="11"/>
        <v>1165375485.1200001</v>
      </c>
      <c r="D22" s="11">
        <f t="shared" si="11"/>
        <v>25167751.109999999</v>
      </c>
      <c r="E22" s="11">
        <f t="shared" si="11"/>
        <v>92135351.23999998</v>
      </c>
      <c r="F22" s="11">
        <f t="shared" si="11"/>
        <v>340205971.76999998</v>
      </c>
      <c r="G22" s="11">
        <f t="shared" si="11"/>
        <v>432341323.00999999</v>
      </c>
      <c r="H22" s="11">
        <f t="shared" si="11"/>
        <v>733034162.11000013</v>
      </c>
      <c r="I22" s="34">
        <f t="shared" si="2"/>
        <v>0.62901113973108735</v>
      </c>
      <c r="L22" s="1"/>
      <c r="M22" s="1"/>
      <c r="N22" s="1"/>
      <c r="O22" s="1"/>
      <c r="P22" s="1"/>
      <c r="Q22" s="1"/>
      <c r="R22" s="130"/>
      <c r="S22" s="130"/>
      <c r="T22" s="130"/>
      <c r="U22" s="130"/>
      <c r="V22" s="130"/>
    </row>
    <row r="23" spans="1:22" s="5" customFormat="1" x14ac:dyDescent="0.25">
      <c r="A23" s="12"/>
      <c r="B23" s="13"/>
      <c r="C23" s="13"/>
      <c r="D23" s="13"/>
      <c r="E23" s="13"/>
      <c r="F23" s="13"/>
      <c r="G23" s="13"/>
      <c r="H23" s="13"/>
      <c r="I23" s="15"/>
      <c r="J23" s="42"/>
      <c r="K23" s="129"/>
      <c r="L23" s="129"/>
      <c r="M23" s="129"/>
      <c r="N23" s="129"/>
      <c r="O23" s="1"/>
      <c r="P23" s="1"/>
      <c r="Q23" s="129"/>
      <c r="R23" s="129"/>
      <c r="S23" s="129"/>
      <c r="T23" s="129"/>
      <c r="U23" s="130"/>
      <c r="V23" s="130"/>
    </row>
    <row r="24" spans="1:22" s="5" customFormat="1" x14ac:dyDescent="0.25">
      <c r="A24" s="6" t="s">
        <v>27</v>
      </c>
      <c r="B24" s="7">
        <f>B12-B22</f>
        <v>-415544454.06999981</v>
      </c>
      <c r="C24" s="7">
        <f>C12-C22</f>
        <v>-712075485.12000012</v>
      </c>
      <c r="D24" s="7">
        <f>D12-D22</f>
        <v>-3656859.8599999994</v>
      </c>
      <c r="E24" s="7">
        <f>E12-E22</f>
        <v>-1637512.3099999726</v>
      </c>
      <c r="F24" s="7"/>
      <c r="G24" s="7">
        <f>G12-G22</f>
        <v>-341843484.07999998</v>
      </c>
      <c r="H24" s="7">
        <f>H12-H22</f>
        <v>-370232001.04000014</v>
      </c>
      <c r="I24" s="16"/>
      <c r="K24" s="129"/>
      <c r="L24" s="129"/>
      <c r="M24" s="129"/>
      <c r="N24" s="129"/>
      <c r="O24" s="1"/>
      <c r="P24" s="1"/>
      <c r="Q24" s="129"/>
      <c r="R24" s="129"/>
      <c r="S24" s="129"/>
      <c r="T24" s="129"/>
      <c r="U24" s="1"/>
      <c r="V24" s="130"/>
    </row>
    <row r="25" spans="1:22" s="5" customFormat="1" ht="24.95" customHeight="1" x14ac:dyDescent="0.25">
      <c r="A25" s="8"/>
      <c r="B25" s="9"/>
      <c r="C25" s="9"/>
      <c r="D25" s="9"/>
      <c r="E25" s="9"/>
      <c r="F25" s="9"/>
      <c r="G25" s="9"/>
      <c r="H25" s="9"/>
      <c r="I25" s="17"/>
      <c r="K25" s="1"/>
      <c r="L25" s="129"/>
      <c r="M25" s="129"/>
      <c r="N25" s="129"/>
      <c r="O25" s="129"/>
      <c r="P25" s="129"/>
      <c r="Q25" s="1"/>
      <c r="R25" s="1"/>
      <c r="S25" s="129"/>
      <c r="T25" s="129"/>
      <c r="U25" s="1"/>
      <c r="V25" s="130"/>
    </row>
    <row r="26" spans="1:22" x14ac:dyDescent="0.25">
      <c r="A26" s="18" t="s">
        <v>67</v>
      </c>
      <c r="B26" s="20"/>
      <c r="C26" s="20"/>
      <c r="D26" s="20"/>
      <c r="E26" s="145">
        <v>618640044.99000001</v>
      </c>
      <c r="F26" s="20"/>
      <c r="G26" s="20">
        <f>E26</f>
        <v>618640044.99000001</v>
      </c>
      <c r="H26" s="20"/>
      <c r="I26" s="21"/>
      <c r="J26" s="43"/>
      <c r="S26" s="129"/>
      <c r="T26" s="129"/>
    </row>
    <row r="27" spans="1:22" ht="15.75" thickBot="1" x14ac:dyDescent="0.3">
      <c r="A27" s="22" t="s">
        <v>28</v>
      </c>
      <c r="B27" s="24"/>
      <c r="C27" s="24"/>
      <c r="D27" s="24"/>
      <c r="E27" s="24">
        <f>SUM(E24:E26)</f>
        <v>617002532.68000007</v>
      </c>
      <c r="F27" s="24"/>
      <c r="G27" s="24">
        <f>SUM(G24:G26)</f>
        <v>276796560.91000003</v>
      </c>
      <c r="H27" s="24"/>
      <c r="I27" s="25"/>
      <c r="S27" s="129"/>
      <c r="T27" s="129"/>
      <c r="U27" s="129"/>
    </row>
    <row r="28" spans="1:22" x14ac:dyDescent="0.25">
      <c r="A28" s="5"/>
      <c r="B28" s="31"/>
      <c r="C28" s="31"/>
      <c r="D28" s="31"/>
      <c r="E28" s="31"/>
      <c r="F28" s="31"/>
      <c r="G28" s="31"/>
      <c r="H28" s="31"/>
      <c r="I28" s="5"/>
      <c r="T28" s="129"/>
      <c r="U28" s="129"/>
    </row>
    <row r="29" spans="1:22" s="129" customFormat="1" x14ac:dyDescent="0.25">
      <c r="H29" s="140"/>
      <c r="K29" s="1"/>
      <c r="Q29" s="1"/>
      <c r="R29" s="1"/>
      <c r="S29" s="1"/>
    </row>
    <row r="30" spans="1:22" s="129" customFormat="1" x14ac:dyDescent="0.25">
      <c r="B30" s="140"/>
      <c r="K30" s="1"/>
      <c r="Q30" s="1"/>
      <c r="R30" s="1"/>
      <c r="S30" s="1"/>
    </row>
    <row r="31" spans="1:22" s="129" customFormat="1" x14ac:dyDescent="0.25">
      <c r="D31" s="140"/>
      <c r="K31" s="1"/>
      <c r="Q31" s="1"/>
      <c r="R31" s="1"/>
      <c r="S31" s="1"/>
      <c r="T31" s="1"/>
    </row>
    <row r="32" spans="1:22" s="129" customFormat="1" x14ac:dyDescent="0.25">
      <c r="I32" s="1"/>
      <c r="K32" s="1"/>
      <c r="Q32" s="1"/>
      <c r="R32" s="1"/>
      <c r="S32" s="1"/>
      <c r="T32" s="1"/>
    </row>
    <row r="33" spans="2:21" s="129" customFormat="1" x14ac:dyDescent="0.25">
      <c r="C33" s="1"/>
      <c r="E33" s="1"/>
      <c r="G33" s="1"/>
      <c r="I33" s="1"/>
      <c r="K33" s="1"/>
      <c r="Q33" s="1"/>
      <c r="R33" s="1"/>
      <c r="S33" s="1"/>
      <c r="T33" s="1"/>
    </row>
    <row r="34" spans="2:21" s="129" customFormat="1" x14ac:dyDescent="0.25">
      <c r="C34" s="1"/>
      <c r="E34" s="1"/>
      <c r="G34" s="1"/>
      <c r="I34" s="1"/>
      <c r="K34" s="1"/>
      <c r="Q34" s="1"/>
      <c r="R34" s="1"/>
      <c r="S34" s="1"/>
      <c r="T34" s="1"/>
    </row>
    <row r="35" spans="2:21" s="129" customFormat="1" x14ac:dyDescent="0.25">
      <c r="K35" s="1"/>
      <c r="Q35" s="1"/>
      <c r="R35" s="1"/>
      <c r="S35" s="1"/>
      <c r="T35" s="1"/>
      <c r="U35" s="1"/>
    </row>
    <row r="36" spans="2:21" s="129" customFormat="1" x14ac:dyDescent="0.25">
      <c r="K36" s="1"/>
      <c r="Q36" s="1"/>
      <c r="R36" s="1"/>
      <c r="S36" s="1"/>
      <c r="T36" s="1"/>
      <c r="U36" s="1"/>
    </row>
    <row r="37" spans="2:21" x14ac:dyDescent="0.25">
      <c r="B37" s="129"/>
      <c r="C37" s="129"/>
      <c r="D37" s="129"/>
      <c r="E37" s="129"/>
      <c r="F37" s="129"/>
      <c r="G37" s="129"/>
      <c r="H37" s="129"/>
      <c r="I37" s="129"/>
      <c r="J37" s="129"/>
    </row>
    <row r="38" spans="2:21" x14ac:dyDescent="0.25">
      <c r="B38" s="129"/>
      <c r="C38" s="129"/>
      <c r="D38" s="129"/>
      <c r="E38" s="129"/>
      <c r="F38" s="129"/>
      <c r="G38" s="129"/>
      <c r="H38" s="129"/>
      <c r="I38" s="129"/>
      <c r="J38" s="129"/>
    </row>
    <row r="39" spans="2:21" x14ac:dyDescent="0.25">
      <c r="B39" s="129"/>
      <c r="C39" s="129"/>
      <c r="D39" s="129"/>
      <c r="E39" s="129"/>
      <c r="F39" s="129"/>
      <c r="J39" s="129"/>
    </row>
    <row r="40" spans="2:21" x14ac:dyDescent="0.25">
      <c r="B40" s="129"/>
      <c r="C40" s="129"/>
      <c r="D40" s="129"/>
      <c r="E40" s="129"/>
      <c r="F40" s="129"/>
      <c r="J40" s="129"/>
    </row>
    <row r="41" spans="2:21" x14ac:dyDescent="0.25">
      <c r="I41" s="28"/>
    </row>
    <row r="42" spans="2:21" x14ac:dyDescent="0.25">
      <c r="I42" s="28"/>
    </row>
    <row r="43" spans="2:21" x14ac:dyDescent="0.25">
      <c r="I43" s="28"/>
    </row>
    <row r="44" spans="2:21" x14ac:dyDescent="0.25">
      <c r="I44" s="28"/>
    </row>
    <row r="45" spans="2:21" x14ac:dyDescent="0.25">
      <c r="I45" s="28"/>
    </row>
    <row r="46" spans="2:21" x14ac:dyDescent="0.25">
      <c r="I46" s="28"/>
    </row>
    <row r="47" spans="2:21" x14ac:dyDescent="0.25">
      <c r="I47" s="28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XFD40"/>
  <sheetViews>
    <sheetView workbookViewId="0">
      <selection activeCell="A4" sqref="A4:I4"/>
    </sheetView>
  </sheetViews>
  <sheetFormatPr defaultRowHeight="15" x14ac:dyDescent="0.25"/>
  <cols>
    <col min="1" max="1" width="49.7109375" style="1" bestFit="1" customWidth="1"/>
    <col min="2" max="3" width="15.140625" style="28" bestFit="1" customWidth="1"/>
    <col min="4" max="4" width="13.42578125" style="28" bestFit="1" customWidth="1"/>
    <col min="5" max="5" width="13.5703125" style="28" bestFit="1" customWidth="1"/>
    <col min="6" max="6" width="16.85546875" style="28" customWidth="1"/>
    <col min="7" max="7" width="13.7109375" style="28" bestFit="1" customWidth="1"/>
    <col min="8" max="8" width="13.5703125" style="28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30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20" width="9.140625" style="1"/>
    <col min="21" max="22" width="12.42578125" style="1" bestFit="1" customWidth="1"/>
    <col min="23" max="16384" width="9.140625" style="1"/>
  </cols>
  <sheetData>
    <row r="1" spans="1:23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23" ht="18.75" x14ac:dyDescent="0.3">
      <c r="A2" s="151" t="s">
        <v>81</v>
      </c>
      <c r="B2" s="151"/>
      <c r="C2" s="151"/>
      <c r="D2" s="151"/>
      <c r="E2" s="151"/>
      <c r="F2" s="151"/>
      <c r="G2" s="151"/>
      <c r="H2" s="151"/>
      <c r="I2" s="151"/>
    </row>
    <row r="3" spans="1:23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</row>
    <row r="4" spans="1:23" x14ac:dyDescent="0.25">
      <c r="A4" s="152">
        <v>45626</v>
      </c>
      <c r="B4" s="152"/>
      <c r="C4" s="152"/>
      <c r="D4" s="152"/>
      <c r="E4" s="152"/>
      <c r="F4" s="152"/>
      <c r="G4" s="152"/>
      <c r="H4" s="152"/>
      <c r="I4" s="152"/>
    </row>
    <row r="5" spans="1:23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</row>
    <row r="6" spans="1:23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</row>
    <row r="7" spans="1:23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M7" s="130"/>
      <c r="N7" s="130"/>
      <c r="O7" s="130"/>
      <c r="P7" s="130"/>
      <c r="Q7" s="130"/>
      <c r="R7" s="130"/>
    </row>
    <row r="8" spans="1:23" s="5" customFormat="1" x14ac:dyDescent="0.2">
      <c r="A8" s="6" t="s">
        <v>8</v>
      </c>
      <c r="B8" s="7">
        <v>69574270.079999998</v>
      </c>
      <c r="C8" s="7">
        <v>69574270.079999998</v>
      </c>
      <c r="D8" s="7">
        <v>0</v>
      </c>
      <c r="E8" s="7">
        <v>913686.2899999998</v>
      </c>
      <c r="F8" s="7">
        <v>0</v>
      </c>
      <c r="G8" s="7">
        <f t="shared" ref="G8:G17" si="0">SUM(E8:F8)</f>
        <v>913686.2899999998</v>
      </c>
      <c r="H8" s="7">
        <f t="shared" ref="H8:H12" si="1">C8-G8</f>
        <v>68660583.789999992</v>
      </c>
      <c r="I8" s="37">
        <f>IF(C8=0,"NA",H8/C8)</f>
        <v>0.98686746854908569</v>
      </c>
      <c r="L8"/>
      <c r="M8" s="131"/>
      <c r="N8" s="131"/>
      <c r="O8" s="131"/>
      <c r="P8" s="131"/>
      <c r="Q8" s="131"/>
      <c r="R8" s="130"/>
      <c r="S8" s="130"/>
      <c r="T8" s="130"/>
      <c r="U8" s="130"/>
      <c r="V8" s="130"/>
      <c r="W8" s="130"/>
    </row>
    <row r="9" spans="1:23" s="5" customFormat="1" x14ac:dyDescent="0.2">
      <c r="A9" s="6" t="s">
        <v>9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0</v>
      </c>
      <c r="I9" s="37" t="str">
        <f t="shared" ref="I9:I18" si="2">IF(C9=0,"NA",H9/C9)</f>
        <v>NA</v>
      </c>
      <c r="L9"/>
      <c r="M9" s="131"/>
      <c r="N9" s="131"/>
      <c r="O9" s="131"/>
      <c r="P9" s="131"/>
      <c r="Q9" s="131"/>
      <c r="R9" s="130"/>
      <c r="S9" s="130"/>
      <c r="T9" s="130"/>
      <c r="U9" s="130"/>
      <c r="V9" s="130"/>
      <c r="W9" s="130"/>
    </row>
    <row r="10" spans="1:23" s="5" customFormat="1" x14ac:dyDescent="0.2">
      <c r="A10" s="6" t="s">
        <v>10</v>
      </c>
      <c r="B10" s="7">
        <v>0</v>
      </c>
      <c r="C10" s="7">
        <v>0</v>
      </c>
      <c r="D10" s="7">
        <v>135316.99999999994</v>
      </c>
      <c r="E10" s="7">
        <v>645726.99999999988</v>
      </c>
      <c r="F10" s="7">
        <v>0</v>
      </c>
      <c r="G10" s="7">
        <f t="shared" si="0"/>
        <v>645726.99999999988</v>
      </c>
      <c r="H10" s="7">
        <f t="shared" si="1"/>
        <v>-645726.99999999988</v>
      </c>
      <c r="I10" s="37" t="str">
        <f t="shared" si="2"/>
        <v>NA</v>
      </c>
      <c r="L10"/>
      <c r="M10" s="131"/>
      <c r="N10" s="131"/>
      <c r="O10" s="131"/>
      <c r="P10" s="131"/>
      <c r="Q10" s="131"/>
      <c r="R10" s="130"/>
      <c r="S10" s="130"/>
      <c r="T10" s="130"/>
      <c r="U10" s="130"/>
      <c r="V10" s="130"/>
      <c r="W10" s="130"/>
    </row>
    <row r="11" spans="1:23" s="5" customFormat="1" x14ac:dyDescent="0.2">
      <c r="A11" s="6" t="s">
        <v>74</v>
      </c>
      <c r="B11" s="7">
        <v>11794465</v>
      </c>
      <c r="C11" s="7">
        <v>16805190.230000004</v>
      </c>
      <c r="D11" s="7">
        <v>0</v>
      </c>
      <c r="E11" s="7">
        <v>19343397.109999992</v>
      </c>
      <c r="F11" s="7">
        <v>0</v>
      </c>
      <c r="G11" s="7">
        <f t="shared" si="0"/>
        <v>19343397.109999992</v>
      </c>
      <c r="H11" s="7">
        <f t="shared" si="1"/>
        <v>-2538206.8799999878</v>
      </c>
      <c r="I11" s="37">
        <f t="shared" si="2"/>
        <v>-0.15103708111966949</v>
      </c>
      <c r="L11"/>
      <c r="M11" s="131"/>
      <c r="N11" s="131"/>
      <c r="O11" s="131"/>
      <c r="P11" s="131"/>
      <c r="Q11" s="131"/>
      <c r="R11" s="130"/>
      <c r="S11" s="130"/>
      <c r="T11" s="130"/>
      <c r="U11" s="130"/>
      <c r="V11" s="130"/>
      <c r="W11" s="130"/>
    </row>
    <row r="12" spans="1:23" s="5" customFormat="1" x14ac:dyDescent="0.2">
      <c r="A12" s="8" t="s">
        <v>11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0</v>
      </c>
      <c r="I12" s="37" t="str">
        <f t="shared" si="2"/>
        <v>NA</v>
      </c>
      <c r="L12"/>
      <c r="M12" s="131"/>
      <c r="N12" s="131"/>
      <c r="O12" s="131"/>
      <c r="P12" s="131"/>
      <c r="Q12" s="131"/>
      <c r="R12" s="130"/>
      <c r="S12" s="130"/>
      <c r="T12" s="130"/>
      <c r="U12" s="130"/>
      <c r="V12" s="130"/>
      <c r="W12" s="130"/>
    </row>
    <row r="13" spans="1:23" s="5" customFormat="1" ht="24.95" customHeight="1" x14ac:dyDescent="0.25">
      <c r="A13" s="10" t="s">
        <v>12</v>
      </c>
      <c r="B13" s="11">
        <f>SUM(B8:B12)</f>
        <v>81368735.079999998</v>
      </c>
      <c r="C13" s="11">
        <f t="shared" ref="C13:H13" si="3">SUM(C8:C12)</f>
        <v>86379460.310000002</v>
      </c>
      <c r="D13" s="11">
        <f t="shared" si="3"/>
        <v>135316.99999999994</v>
      </c>
      <c r="E13" s="11">
        <f t="shared" si="3"/>
        <v>20902810.399999991</v>
      </c>
      <c r="F13" s="11">
        <f t="shared" si="3"/>
        <v>0</v>
      </c>
      <c r="G13" s="11">
        <f t="shared" si="3"/>
        <v>20902810.399999991</v>
      </c>
      <c r="H13" s="11">
        <f t="shared" si="3"/>
        <v>65476649.910000004</v>
      </c>
      <c r="I13" s="34">
        <f t="shared" si="2"/>
        <v>0.75801179672825403</v>
      </c>
      <c r="L13" s="1"/>
      <c r="M13" s="1"/>
      <c r="N13" s="1"/>
      <c r="O13" s="1"/>
      <c r="P13" s="1"/>
      <c r="Q13" s="1"/>
      <c r="R13" s="1"/>
      <c r="S13" s="130"/>
      <c r="T13" s="130"/>
      <c r="U13" s="130"/>
      <c r="V13" s="130"/>
      <c r="W13" s="130"/>
    </row>
    <row r="14" spans="1:23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37" t="str">
        <f t="shared" si="2"/>
        <v>NA</v>
      </c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</row>
    <row r="15" spans="1:23" s="5" customFormat="1" x14ac:dyDescent="0.2">
      <c r="A15" s="6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37" t="str">
        <f t="shared" si="2"/>
        <v>NA</v>
      </c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</row>
    <row r="16" spans="1:23" s="5" customFormat="1" x14ac:dyDescent="0.25">
      <c r="A16" s="6" t="s">
        <v>29</v>
      </c>
      <c r="B16" s="7">
        <v>84549893.730000004</v>
      </c>
      <c r="C16" s="7">
        <v>89560618.960000008</v>
      </c>
      <c r="D16" s="7">
        <v>6890184.3400000008</v>
      </c>
      <c r="E16" s="7">
        <v>23200807.530000001</v>
      </c>
      <c r="F16" s="7">
        <v>6689964</v>
      </c>
      <c r="G16" s="7">
        <f t="shared" si="0"/>
        <v>29890771.530000001</v>
      </c>
      <c r="H16" s="7">
        <f t="shared" si="4"/>
        <v>59669847.430000007</v>
      </c>
      <c r="I16" s="37">
        <f t="shared" si="2"/>
        <v>0.66625094961268683</v>
      </c>
      <c r="L16" s="129"/>
      <c r="M16" s="1"/>
      <c r="N16" s="1"/>
      <c r="O16" s="1"/>
      <c r="P16" s="1"/>
      <c r="Q16" s="1"/>
      <c r="R16" s="1"/>
      <c r="S16" s="1"/>
      <c r="T16" s="1"/>
      <c r="W16" s="130"/>
    </row>
    <row r="17" spans="1:16384" s="5" customFormat="1" x14ac:dyDescent="0.25">
      <c r="A17" s="6" t="s">
        <v>25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37" t="str">
        <f t="shared" si="2"/>
        <v>NA</v>
      </c>
      <c r="L17" s="1"/>
      <c r="M17" s="1"/>
      <c r="N17" s="1"/>
      <c r="O17" s="1"/>
      <c r="P17" s="1"/>
      <c r="Q17" s="1"/>
      <c r="R17" s="1"/>
      <c r="S17" s="1"/>
      <c r="T17" s="1"/>
    </row>
    <row r="18" spans="1:16384" s="5" customFormat="1" ht="24.95" customHeight="1" x14ac:dyDescent="0.25">
      <c r="A18" s="10" t="s">
        <v>26</v>
      </c>
      <c r="B18" s="11">
        <f>SUM(B14:B17)</f>
        <v>84549893.730000004</v>
      </c>
      <c r="C18" s="11">
        <f t="shared" ref="C18:G18" si="5">SUM(C14:C17)</f>
        <v>89560618.960000008</v>
      </c>
      <c r="D18" s="11">
        <f t="shared" si="5"/>
        <v>6890184.3400000008</v>
      </c>
      <c r="E18" s="11">
        <f t="shared" si="5"/>
        <v>23200807.530000001</v>
      </c>
      <c r="F18" s="11">
        <f t="shared" si="5"/>
        <v>6689964</v>
      </c>
      <c r="G18" s="11">
        <f t="shared" si="5"/>
        <v>29890771.530000001</v>
      </c>
      <c r="H18" s="11">
        <f t="shared" ref="H18" si="6">SUM(H14:H17)</f>
        <v>59669847.430000007</v>
      </c>
      <c r="I18" s="34">
        <f t="shared" si="2"/>
        <v>0.66625094961268683</v>
      </c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16384" s="5" customFormat="1" x14ac:dyDescent="0.25">
      <c r="A19" s="12"/>
      <c r="B19" s="13"/>
      <c r="C19" s="13"/>
      <c r="D19" s="13"/>
      <c r="E19" s="13"/>
      <c r="F19" s="13"/>
      <c r="G19" s="13"/>
      <c r="H19" s="13"/>
      <c r="I19" s="15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16384" s="5" customFormat="1" x14ac:dyDescent="0.25">
      <c r="A20" s="6" t="s">
        <v>27</v>
      </c>
      <c r="B20" s="7">
        <f>B13-B18</f>
        <v>-3181158.650000006</v>
      </c>
      <c r="C20" s="7">
        <f>C13-C18</f>
        <v>-3181158.650000006</v>
      </c>
      <c r="D20" s="7">
        <f>D13-D18</f>
        <v>-6754867.3400000008</v>
      </c>
      <c r="E20" s="7">
        <f>E13-E18</f>
        <v>-2297997.1300000101</v>
      </c>
      <c r="F20" s="7"/>
      <c r="G20" s="7">
        <f>G13-G18</f>
        <v>-8987961.1300000101</v>
      </c>
      <c r="H20" s="7">
        <f>H13-H18</f>
        <v>5806802.4799999967</v>
      </c>
      <c r="I20" s="16"/>
      <c r="L20" s="129"/>
      <c r="M20" s="1"/>
      <c r="N20" s="1"/>
      <c r="O20" s="1"/>
      <c r="P20" s="1"/>
      <c r="Q20" s="1"/>
      <c r="R20" s="1"/>
      <c r="S20" s="1"/>
      <c r="T20" s="1"/>
      <c r="U20" s="1"/>
    </row>
    <row r="21" spans="1:16384" s="5" customFormat="1" x14ac:dyDescent="0.25">
      <c r="A21" s="8"/>
      <c r="B21" s="9"/>
      <c r="C21" s="9"/>
      <c r="D21" s="9"/>
      <c r="E21" s="9"/>
      <c r="F21" s="9"/>
      <c r="G21" s="9"/>
      <c r="H21" s="9"/>
      <c r="I21" s="17"/>
      <c r="L21" s="129"/>
      <c r="M21" s="1"/>
      <c r="N21" s="1"/>
      <c r="O21" s="1"/>
      <c r="P21" s="1"/>
      <c r="Q21" s="1"/>
      <c r="R21" s="1"/>
      <c r="S21" s="1"/>
      <c r="T21" s="1"/>
      <c r="U21" s="1"/>
    </row>
    <row r="22" spans="1:16384" s="5" customFormat="1" x14ac:dyDescent="0.25">
      <c r="A22" s="18" t="s">
        <v>67</v>
      </c>
      <c r="B22" s="20"/>
      <c r="C22" s="20"/>
      <c r="D22" s="20"/>
      <c r="E22" s="145">
        <v>28344820.670000002</v>
      </c>
      <c r="F22" s="20"/>
      <c r="G22" s="20">
        <f>E22</f>
        <v>28344820.670000002</v>
      </c>
      <c r="H22" s="20"/>
      <c r="I22" s="2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16384" s="5" customFormat="1" x14ac:dyDescent="0.25">
      <c r="A23" s="8" t="s">
        <v>28</v>
      </c>
      <c r="B23" s="9"/>
      <c r="C23" s="9"/>
      <c r="D23" s="9"/>
      <c r="E23" s="9">
        <f>SUM(E20:E22)</f>
        <v>26046823.539999992</v>
      </c>
      <c r="F23" s="9"/>
      <c r="G23" s="9">
        <f>SUM(G20:G22)</f>
        <v>19356859.539999992</v>
      </c>
      <c r="H23" s="9"/>
      <c r="I23" s="17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16384" s="5" customFormat="1" x14ac:dyDescent="0.25">
      <c r="A24" s="29"/>
      <c r="B24" s="31"/>
      <c r="C24" s="31"/>
      <c r="D24" s="31"/>
      <c r="E24" s="31"/>
      <c r="F24" s="31"/>
      <c r="G24" s="31"/>
      <c r="H24" s="3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16384" s="5" customFormat="1" x14ac:dyDescent="0.25">
      <c r="B25" s="28"/>
      <c r="C25" s="13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16384" s="5" customFormat="1" x14ac:dyDescent="0.25">
      <c r="A26" s="1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  <c r="XFC26" s="1"/>
      <c r="XFD26" s="1"/>
    </row>
    <row r="27" spans="1:16384" x14ac:dyDescent="0.25">
      <c r="B27" s="129"/>
      <c r="C27" s="129"/>
      <c r="D27" s="129"/>
      <c r="E27" s="129"/>
      <c r="F27" s="129"/>
      <c r="G27" s="129"/>
      <c r="H27" s="129"/>
      <c r="I27" s="129"/>
      <c r="J27" s="129"/>
      <c r="K27" s="129"/>
    </row>
    <row r="28" spans="1:16384" x14ac:dyDescent="0.25">
      <c r="B28" s="129"/>
      <c r="C28" s="129"/>
      <c r="D28" s="129"/>
      <c r="E28" s="129"/>
      <c r="F28" s="129"/>
      <c r="G28" s="129"/>
      <c r="H28" s="129"/>
      <c r="I28" s="129"/>
      <c r="J28" s="129"/>
      <c r="K28" s="129"/>
    </row>
    <row r="29" spans="1:16384" x14ac:dyDescent="0.25">
      <c r="B29" s="129"/>
      <c r="C29" s="129"/>
      <c r="D29" s="129"/>
      <c r="E29" s="129"/>
      <c r="F29" s="129"/>
      <c r="G29" s="129"/>
      <c r="H29" s="129"/>
    </row>
    <row r="30" spans="1:16384" x14ac:dyDescent="0.25">
      <c r="B30" s="129"/>
      <c r="C30" s="129"/>
      <c r="D30" s="129"/>
      <c r="E30" s="129"/>
      <c r="F30" s="129"/>
      <c r="G30" s="129"/>
      <c r="H30" s="129"/>
      <c r="J30" s="129"/>
    </row>
    <row r="31" spans="1:16384" x14ac:dyDescent="0.25">
      <c r="B31" s="129"/>
      <c r="C31" s="129"/>
      <c r="D31" s="129"/>
      <c r="E31" s="129"/>
      <c r="F31" s="129"/>
      <c r="G31" s="129"/>
      <c r="H31" s="129"/>
      <c r="I31" s="129"/>
      <c r="J31" s="129"/>
      <c r="K31" s="129"/>
    </row>
    <row r="32" spans="1:16384" x14ac:dyDescent="0.25">
      <c r="B32" s="129"/>
      <c r="C32" s="129"/>
      <c r="D32" s="129"/>
      <c r="E32" s="129"/>
      <c r="F32" s="129"/>
      <c r="G32" s="129"/>
      <c r="H32" s="129"/>
      <c r="I32" s="129"/>
      <c r="J32" s="129"/>
      <c r="K32" s="129"/>
    </row>
    <row r="33" spans="2:11" x14ac:dyDescent="0.25">
      <c r="B33" s="129"/>
      <c r="C33" s="129"/>
      <c r="D33" s="129"/>
      <c r="E33" s="129"/>
      <c r="F33" s="129"/>
      <c r="G33" s="129"/>
      <c r="H33" s="129"/>
      <c r="I33" s="129"/>
      <c r="J33" s="129"/>
      <c r="K33" s="129"/>
    </row>
    <row r="34" spans="2:11" x14ac:dyDescent="0.25">
      <c r="B34" s="129"/>
      <c r="C34" s="129"/>
      <c r="D34" s="129"/>
      <c r="E34" s="129"/>
      <c r="F34" s="129"/>
      <c r="G34" s="129"/>
      <c r="H34" s="129"/>
      <c r="I34" s="129"/>
      <c r="J34" s="129"/>
      <c r="K34" s="129"/>
    </row>
    <row r="35" spans="2:11" x14ac:dyDescent="0.25">
      <c r="E35" s="1"/>
      <c r="F35" s="1"/>
      <c r="G35" s="1"/>
      <c r="H35" s="1"/>
    </row>
    <row r="36" spans="2:11" x14ac:dyDescent="0.25">
      <c r="G36" s="1"/>
      <c r="H36" s="1"/>
    </row>
    <row r="37" spans="2:11" x14ac:dyDescent="0.25">
      <c r="H37" s="1"/>
    </row>
    <row r="38" spans="2:11" x14ac:dyDescent="0.25">
      <c r="H38" s="1"/>
    </row>
    <row r="39" spans="2:11" x14ac:dyDescent="0.25">
      <c r="H39" s="1"/>
    </row>
    <row r="40" spans="2:11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Props1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31FE70-6FE1-4FFF-A898-2B385D537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125589-3B97-4A8E-BFB5-F8CAEDF79A9D}">
  <ds:schemaRefs>
    <ds:schemaRef ds:uri="fd92ff4e-e524-4e6b-bcac-5c88d6f646ba"/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(2024)</vt:lpstr>
      <vt:lpstr>SPECIAL REVENUE</vt:lpstr>
      <vt:lpstr>DEBT SERVICE</vt:lpstr>
      <vt:lpstr>CAPITAL PROJECTS</vt:lpstr>
      <vt:lpstr>SCHOOL NUTRITION</vt:lpstr>
      <vt:lpstr>Budget vs Actual (2024)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FINANCE</cp:lastModifiedBy>
  <cp:lastPrinted>2024-12-09T18:43:47Z</cp:lastPrinted>
  <dcterms:created xsi:type="dcterms:W3CDTF">2020-01-29T12:55:36Z</dcterms:created>
  <dcterms:modified xsi:type="dcterms:W3CDTF">2024-12-09T19:23:30Z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