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FINANCE\BOARD FINANCIAL REPORTS\~WorkFolder\~FY2025\2024_12\"/>
    </mc:Choice>
  </mc:AlternateContent>
  <bookViews>
    <workbookView xWindow="-120" yWindow="-120" windowWidth="20730" windowHeight="11160" tabRatio="797"/>
  </bookViews>
  <sheets>
    <sheet name="GENERAL FUND" sheetId="1" r:id="rId1"/>
    <sheet name="DATA for CHARTS (2024)" sheetId="10" state="hidden" r:id="rId2"/>
    <sheet name="Budget vs Actual (2024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0" l="1"/>
  <c r="I42" i="10"/>
  <c r="I41" i="10"/>
  <c r="J21" i="10"/>
  <c r="K20" i="10"/>
  <c r="J19" i="10"/>
  <c r="J17" i="10"/>
  <c r="J16" i="10"/>
  <c r="J15" i="10"/>
  <c r="J14" i="10"/>
  <c r="J13" i="10"/>
  <c r="J11" i="10"/>
  <c r="J10" i="10"/>
  <c r="J9" i="10"/>
  <c r="I16" i="10" l="1"/>
  <c r="I14" i="10"/>
  <c r="I13" i="10"/>
  <c r="I11" i="10"/>
  <c r="I10" i="10"/>
  <c r="I9" i="10"/>
  <c r="J26" i="10"/>
  <c r="E25" i="10"/>
  <c r="T25" i="10" s="1"/>
  <c r="G29" i="1"/>
  <c r="H29" i="1" s="1"/>
  <c r="I29" i="1" s="1"/>
  <c r="I26" i="10" l="1"/>
  <c r="Q26" i="10"/>
  <c r="G43" i="10" l="1"/>
  <c r="G41" i="10"/>
  <c r="H20" i="10"/>
  <c r="H19" i="10"/>
  <c r="H17" i="10"/>
  <c r="H16" i="10"/>
  <c r="H15" i="10"/>
  <c r="H14" i="10"/>
  <c r="H13" i="10"/>
  <c r="H11" i="10"/>
  <c r="H10" i="10"/>
  <c r="H9" i="10"/>
  <c r="H26" i="10" s="1"/>
  <c r="I24" i="2" l="1"/>
  <c r="G24" i="2"/>
  <c r="H24" i="2" s="1"/>
  <c r="G15" i="5" l="1"/>
  <c r="G16" i="5"/>
  <c r="G17" i="5"/>
  <c r="G14" i="5"/>
  <c r="F43" i="10" l="1"/>
  <c r="F41" i="10"/>
  <c r="G20" i="10"/>
  <c r="G19" i="10"/>
  <c r="G17" i="10"/>
  <c r="G16" i="10"/>
  <c r="G14" i="10"/>
  <c r="G13" i="10"/>
  <c r="G11" i="10"/>
  <c r="G10" i="10"/>
  <c r="G9" i="10"/>
  <c r="G26" i="10" s="1"/>
  <c r="F22" i="4" l="1"/>
  <c r="F31" i="1"/>
  <c r="F18" i="5" l="1"/>
  <c r="F20" i="10" l="1"/>
  <c r="F19" i="10"/>
  <c r="F16" i="10"/>
  <c r="F15" i="10"/>
  <c r="F13" i="10"/>
  <c r="F10" i="10"/>
  <c r="F9" i="10"/>
  <c r="C6" i="10" l="1"/>
  <c r="F26" i="10"/>
  <c r="D45" i="10"/>
  <c r="G15" i="4" l="1"/>
  <c r="H15" i="4" s="1"/>
  <c r="I15" i="4" s="1"/>
  <c r="C13" i="1" l="1"/>
  <c r="E18" i="10"/>
  <c r="T18" i="10" s="1"/>
  <c r="G14" i="1"/>
  <c r="G15" i="1"/>
  <c r="G16" i="1"/>
  <c r="G17" i="1"/>
  <c r="G18" i="1"/>
  <c r="G19" i="1"/>
  <c r="G20" i="1"/>
  <c r="G21" i="1"/>
  <c r="G22" i="1"/>
  <c r="G23" i="1"/>
  <c r="H23" i="1" s="1"/>
  <c r="G24" i="1"/>
  <c r="G25" i="1"/>
  <c r="G26" i="1"/>
  <c r="G27" i="1"/>
  <c r="G28" i="1"/>
  <c r="G30" i="1"/>
  <c r="I23" i="1"/>
  <c r="S26" i="10" l="1"/>
  <c r="G8" i="1"/>
  <c r="G9" i="1"/>
  <c r="G10" i="1"/>
  <c r="G11" i="1"/>
  <c r="G12" i="1"/>
  <c r="G12" i="5" l="1"/>
  <c r="G11" i="5"/>
  <c r="G10" i="5"/>
  <c r="G9" i="5"/>
  <c r="G8" i="5"/>
  <c r="F48" i="10" l="1"/>
  <c r="G48" i="10"/>
  <c r="H48" i="10"/>
  <c r="I48" i="10"/>
  <c r="J48" i="10"/>
  <c r="F49" i="10"/>
  <c r="G49" i="10"/>
  <c r="H49" i="10"/>
  <c r="I49" i="10"/>
  <c r="J49" i="10"/>
  <c r="E48" i="10"/>
  <c r="I8" i="3" l="1"/>
  <c r="G30" i="2"/>
  <c r="H30" i="2" s="1"/>
  <c r="I30" i="2" s="1"/>
  <c r="B48" i="10"/>
  <c r="C44" i="10"/>
  <c r="H11" i="1"/>
  <c r="I11" i="1" s="1"/>
  <c r="D44" i="10" l="1"/>
  <c r="T44" i="10"/>
  <c r="C13" i="3"/>
  <c r="D13" i="3"/>
  <c r="E13" i="3"/>
  <c r="F13" i="3"/>
  <c r="B13" i="3"/>
  <c r="C10" i="3"/>
  <c r="D10" i="3"/>
  <c r="E10" i="3"/>
  <c r="F10" i="3"/>
  <c r="G10" i="3"/>
  <c r="H10" i="3"/>
  <c r="G14" i="4" l="1"/>
  <c r="H14" i="4" s="1"/>
  <c r="I14" i="4" s="1"/>
  <c r="G21" i="4" l="1"/>
  <c r="H21" i="4" s="1"/>
  <c r="G20" i="4"/>
  <c r="H20" i="4" s="1"/>
  <c r="G19" i="4"/>
  <c r="H19" i="4" s="1"/>
  <c r="G18" i="4"/>
  <c r="H18" i="4" s="1"/>
  <c r="I18" i="4" s="1"/>
  <c r="G17" i="4"/>
  <c r="H17" i="4" s="1"/>
  <c r="G16" i="4"/>
  <c r="H16" i="4" s="1"/>
  <c r="I19" i="4" l="1"/>
  <c r="I20" i="4"/>
  <c r="H30" i="1" l="1"/>
  <c r="I30" i="1" s="1"/>
  <c r="C41" i="10" l="1"/>
  <c r="T41" i="10" s="1"/>
  <c r="C42" i="10"/>
  <c r="T42" i="10" s="1"/>
  <c r="C43" i="10"/>
  <c r="C45" i="10"/>
  <c r="T45" i="10" s="1"/>
  <c r="G11" i="3"/>
  <c r="G13" i="3" s="1"/>
  <c r="G12" i="3"/>
  <c r="C49" i="10" l="1"/>
  <c r="T43" i="10"/>
  <c r="C48" i="10"/>
  <c r="C50" i="10" s="1"/>
  <c r="G8" i="4" l="1"/>
  <c r="G9" i="4"/>
  <c r="G10" i="4"/>
  <c r="G11" i="4"/>
  <c r="E37" i="1" l="1"/>
  <c r="G37" i="1" s="1"/>
  <c r="G36" i="1"/>
  <c r="H67" i="10" l="1"/>
  <c r="E21" i="10"/>
  <c r="T21" i="10" s="1"/>
  <c r="E22" i="10"/>
  <c r="T22" i="10" s="1"/>
  <c r="E23" i="10"/>
  <c r="T23" i="10" s="1"/>
  <c r="E24" i="10"/>
  <c r="T24" i="10" s="1"/>
  <c r="H28" i="1" l="1"/>
  <c r="I28" i="1" s="1"/>
  <c r="G13" i="4" l="1"/>
  <c r="C31" i="1" l="1"/>
  <c r="D31" i="1"/>
  <c r="E31" i="1"/>
  <c r="B31" i="1"/>
  <c r="G31" i="1" l="1"/>
  <c r="U26" i="10"/>
  <c r="C12" i="4" l="1"/>
  <c r="D12" i="4"/>
  <c r="E12" i="4"/>
  <c r="F12" i="4"/>
  <c r="B12" i="4"/>
  <c r="I16" i="4"/>
  <c r="E16" i="10"/>
  <c r="T16" i="10" s="1"/>
  <c r="E13" i="10"/>
  <c r="T13" i="10" s="1"/>
  <c r="I11" i="3"/>
  <c r="H11" i="3"/>
  <c r="H13" i="3" s="1"/>
  <c r="G9" i="3"/>
  <c r="H9" i="3" s="1"/>
  <c r="I9" i="3" s="1"/>
  <c r="G8" i="3"/>
  <c r="H8" i="3" s="1"/>
  <c r="H12" i="3"/>
  <c r="I12" i="3" s="1"/>
  <c r="B49" i="10"/>
  <c r="E20" i="10"/>
  <c r="T20" i="10" s="1"/>
  <c r="H14" i="1"/>
  <c r="I14" i="1" s="1"/>
  <c r="H15" i="1"/>
  <c r="I15" i="1" s="1"/>
  <c r="H16" i="1"/>
  <c r="I16" i="1" s="1"/>
  <c r="H17" i="1"/>
  <c r="I17" i="1" s="1"/>
  <c r="H18" i="1"/>
  <c r="H19" i="1"/>
  <c r="I19" i="1" s="1"/>
  <c r="H20" i="1"/>
  <c r="I20" i="1" s="1"/>
  <c r="H21" i="1"/>
  <c r="I21" i="1" s="1"/>
  <c r="H22" i="1"/>
  <c r="I22" i="1" s="1"/>
  <c r="H24" i="1"/>
  <c r="I24" i="1" s="1"/>
  <c r="H27" i="1"/>
  <c r="I27" i="1" s="1"/>
  <c r="H26" i="1"/>
  <c r="I26" i="1" s="1"/>
  <c r="H25" i="1"/>
  <c r="I25" i="1" s="1"/>
  <c r="B13" i="1"/>
  <c r="D13" i="1"/>
  <c r="E13" i="1"/>
  <c r="F13" i="1"/>
  <c r="B68" i="10"/>
  <c r="E49" i="10"/>
  <c r="E53" i="10"/>
  <c r="J46" i="10"/>
  <c r="I46" i="10"/>
  <c r="H46" i="10"/>
  <c r="G46" i="10"/>
  <c r="F46" i="10"/>
  <c r="E46" i="10"/>
  <c r="B46" i="10"/>
  <c r="E15" i="10"/>
  <c r="T15" i="10" s="1"/>
  <c r="E14" i="10"/>
  <c r="T14" i="10" s="1"/>
  <c r="E12" i="10"/>
  <c r="T12" i="10" s="1"/>
  <c r="E10" i="10"/>
  <c r="T10" i="10" s="1"/>
  <c r="G22" i="5"/>
  <c r="G26" i="4"/>
  <c r="G17" i="3"/>
  <c r="G37" i="2"/>
  <c r="G35" i="1"/>
  <c r="C18" i="5"/>
  <c r="D18" i="5"/>
  <c r="E18" i="5"/>
  <c r="B18" i="5"/>
  <c r="B22" i="4"/>
  <c r="C22" i="4"/>
  <c r="D22" i="4"/>
  <c r="E22" i="4"/>
  <c r="I15" i="5"/>
  <c r="I10" i="4"/>
  <c r="H8" i="1"/>
  <c r="I8" i="1" s="1"/>
  <c r="H9" i="1"/>
  <c r="I9" i="1" s="1"/>
  <c r="H10" i="1"/>
  <c r="I10" i="1" s="1"/>
  <c r="G31" i="2"/>
  <c r="H31" i="2" s="1"/>
  <c r="I31" i="2" s="1"/>
  <c r="H17" i="5"/>
  <c r="H16" i="5"/>
  <c r="I16" i="5" s="1"/>
  <c r="H15" i="5"/>
  <c r="H14" i="5"/>
  <c r="I14" i="5" s="1"/>
  <c r="B10" i="3"/>
  <c r="B13" i="5"/>
  <c r="C13" i="5"/>
  <c r="D13" i="5"/>
  <c r="E13" i="5"/>
  <c r="F13" i="5"/>
  <c r="B13" i="2"/>
  <c r="C13" i="2"/>
  <c r="D13" i="2"/>
  <c r="E13" i="2"/>
  <c r="F13" i="2"/>
  <c r="I17" i="5"/>
  <c r="H12" i="5"/>
  <c r="I12" i="5" s="1"/>
  <c r="H11" i="5"/>
  <c r="I11" i="5" s="1"/>
  <c r="H10" i="5"/>
  <c r="I10" i="5" s="1"/>
  <c r="H9" i="5"/>
  <c r="I9" i="5" s="1"/>
  <c r="H8" i="5"/>
  <c r="I21" i="4"/>
  <c r="H13" i="4"/>
  <c r="I13" i="4" s="1"/>
  <c r="H11" i="4"/>
  <c r="I11" i="4" s="1"/>
  <c r="H10" i="4"/>
  <c r="H9" i="4"/>
  <c r="I9" i="4" s="1"/>
  <c r="H8" i="4"/>
  <c r="F33" i="2"/>
  <c r="E33" i="2"/>
  <c r="D33" i="2"/>
  <c r="C33" i="2"/>
  <c r="B33" i="2"/>
  <c r="G32" i="2"/>
  <c r="H32" i="2" s="1"/>
  <c r="I32" i="2" s="1"/>
  <c r="G29" i="2"/>
  <c r="H29" i="2" s="1"/>
  <c r="I29" i="2" s="1"/>
  <c r="G19" i="2"/>
  <c r="H19" i="2" s="1"/>
  <c r="I1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I14" i="2" s="1"/>
  <c r="G12" i="2"/>
  <c r="G11" i="2"/>
  <c r="G10" i="2"/>
  <c r="G9" i="2"/>
  <c r="G8" i="2"/>
  <c r="H10" i="2" l="1"/>
  <c r="I10" i="2" s="1"/>
  <c r="H9" i="2"/>
  <c r="I9" i="2" s="1"/>
  <c r="H11" i="2"/>
  <c r="I11" i="2" s="1"/>
  <c r="H12" i="2"/>
  <c r="I12" i="2" s="1"/>
  <c r="E50" i="10"/>
  <c r="E11" i="10"/>
  <c r="T11" i="10" s="1"/>
  <c r="G50" i="10"/>
  <c r="B50" i="10"/>
  <c r="I50" i="10"/>
  <c r="E19" i="10"/>
  <c r="T19" i="10" s="1"/>
  <c r="H50" i="10"/>
  <c r="J50" i="10"/>
  <c r="F50" i="10"/>
  <c r="E54" i="10"/>
  <c r="F54" i="10" s="1"/>
  <c r="G54" i="10" s="1"/>
  <c r="H54" i="10" s="1"/>
  <c r="I54" i="10" s="1"/>
  <c r="J54" i="10" s="1"/>
  <c r="B20" i="5"/>
  <c r="E9" i="10"/>
  <c r="T9" i="10" s="1"/>
  <c r="E17" i="10"/>
  <c r="T17" i="10" s="1"/>
  <c r="E33" i="1"/>
  <c r="E38" i="1" s="1"/>
  <c r="E20" i="5"/>
  <c r="E23" i="5" s="1"/>
  <c r="D41" i="10"/>
  <c r="D42" i="10"/>
  <c r="D43" i="10"/>
  <c r="D49" i="10"/>
  <c r="B58" i="10" s="1"/>
  <c r="D20" i="5"/>
  <c r="C20" i="5"/>
  <c r="C24" i="4"/>
  <c r="D35" i="2"/>
  <c r="C35" i="2"/>
  <c r="B33" i="1"/>
  <c r="E15" i="3"/>
  <c r="E18" i="3" s="1"/>
  <c r="D15" i="3"/>
  <c r="B35" i="2"/>
  <c r="D33" i="1"/>
  <c r="C33" i="1"/>
  <c r="G13" i="1"/>
  <c r="G13" i="5"/>
  <c r="B24" i="4"/>
  <c r="H18" i="5"/>
  <c r="I18" i="5" s="1"/>
  <c r="G18" i="5"/>
  <c r="G12" i="4"/>
  <c r="E24" i="4"/>
  <c r="E27" i="4" s="1"/>
  <c r="D24" i="4"/>
  <c r="B15" i="3"/>
  <c r="C15" i="3"/>
  <c r="I13" i="3"/>
  <c r="G33" i="2"/>
  <c r="G13" i="2"/>
  <c r="E35" i="2"/>
  <c r="E38" i="2" s="1"/>
  <c r="H12" i="1"/>
  <c r="H33" i="2"/>
  <c r="I33" i="2" s="1"/>
  <c r="I8" i="5"/>
  <c r="H13" i="5"/>
  <c r="H12" i="4"/>
  <c r="I8" i="4"/>
  <c r="I18" i="1"/>
  <c r="H31" i="1"/>
  <c r="I31" i="1" s="1"/>
  <c r="I17" i="4"/>
  <c r="H22" i="4"/>
  <c r="I22" i="4" s="1"/>
  <c r="F53" i="10"/>
  <c r="G22" i="4"/>
  <c r="C46" i="10"/>
  <c r="D46" i="10" s="1"/>
  <c r="H8" i="2"/>
  <c r="I8" i="2" s="1"/>
  <c r="E55" i="10" l="1"/>
  <c r="D50" i="10"/>
  <c r="B59" i="10" s="1"/>
  <c r="E26" i="10"/>
  <c r="T26" i="10"/>
  <c r="G33" i="1"/>
  <c r="G38" i="1" s="1"/>
  <c r="G35" i="2"/>
  <c r="G38" i="2" s="1"/>
  <c r="G20" i="5"/>
  <c r="G23" i="5" s="1"/>
  <c r="G15" i="3"/>
  <c r="G18" i="3" s="1"/>
  <c r="H13" i="1"/>
  <c r="I13" i="1" s="1"/>
  <c r="I12" i="1"/>
  <c r="G24" i="4"/>
  <c r="G27" i="4" s="1"/>
  <c r="H13" i="2"/>
  <c r="H20" i="5"/>
  <c r="I13" i="5"/>
  <c r="G53" i="10"/>
  <c r="F55" i="10"/>
  <c r="D48" i="10"/>
  <c r="B57" i="10" s="1"/>
  <c r="I12" i="4"/>
  <c r="H24" i="4"/>
  <c r="I10" i="3"/>
  <c r="H15" i="3"/>
  <c r="B16" i="10" l="1"/>
  <c r="C16" i="10" s="1"/>
  <c r="B30" i="10"/>
  <c r="B15" i="10"/>
  <c r="C15" i="10" s="1"/>
  <c r="I13" i="2"/>
  <c r="H35" i="2"/>
  <c r="G55" i="10"/>
  <c r="H53" i="10"/>
  <c r="H55" i="10" l="1"/>
  <c r="I53" i="10"/>
  <c r="I55" i="10" l="1"/>
  <c r="J53" i="10"/>
  <c r="J55" i="10" l="1"/>
</calcChain>
</file>

<file path=xl/sharedStrings.xml><?xml version="1.0" encoding="utf-8"?>
<sst xmlns="http://schemas.openxmlformats.org/spreadsheetml/2006/main" count="275" uniqueCount="85">
  <si>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</si>
  <si>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</si>
  <si>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</si>
  <si>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</si>
  <si>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</si>
  <si>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</si>
  <si>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</si>
  <si>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</si>
  <si>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</si>
  <si>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</si>
  <si>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</si>
  <si>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</si>
  <si>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</si>
  <si>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</si>
  <si>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</si>
  <si>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</si>
  <si>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</si>
  <si>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</si>
  <si>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</si>
  <si>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</si>
  <si>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</si>
  <si>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</si>
  <si>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</si>
  <si>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</si>
  <si>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</si>
  <si>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</si>
  <si>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</si>
  <si>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</si>
  <si>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</si>
  <si>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SCHOOL NUTRITION PROGRAM</t>
  </si>
  <si>
    <t xml:space="preserve">   ENTERPRISE OPERATIONS</t>
  </si>
  <si>
    <t>% of REMAINING BUDGET</t>
  </si>
  <si>
    <t>Description</t>
  </si>
  <si>
    <t>AMENDED BUDGET</t>
  </si>
  <si>
    <t>ORIGINAL BUDGET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</si>
  <si>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</si>
  <si>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</si>
  <si>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</si>
  <si>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</si>
  <si>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</si>
  <si>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</si>
  <si>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</si>
  <si>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</si>
  <si>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</si>
  <si>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</si>
  <si>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</si>
  <si>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</si>
  <si>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</si>
  <si>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</si>
  <si>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</si>
  <si>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</si>
  <si>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</si>
  <si>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</si>
  <si>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</si>
  <si>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</si>
  <si>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</si>
  <si>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</si>
  <si>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</si>
  <si>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</si>
  <si>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</si>
  <si>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</si>
  <si>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</si>
  <si>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</si>
  <si>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</si>
  <si>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</si>
  <si>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</si>
  <si>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</si>
  <si>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BEGINNING BALANCE (Estimated)</t>
  </si>
  <si>
    <t>ASSIGNED BALANCE (Gold Case)</t>
  </si>
  <si>
    <t>UNASSIGNED STARTING BALANCE (Estimated)</t>
  </si>
  <si>
    <t xml:space="preserve">   MAINTENANCE AND OPERATION OF PLANT SERVICES</t>
  </si>
  <si>
    <t xml:space="preserve">   FEDERAL GRANT ADMINISTRATION</t>
  </si>
  <si>
    <t xml:space="preserve">   COMMUNITY SERVICES OPERATIONS</t>
  </si>
  <si>
    <t xml:space="preserve">   FACILITIES ACQUISITION AND CONSTRUCTION SERVICES</t>
  </si>
  <si>
    <t xml:space="preserve">   FEDERAL SOURCES</t>
  </si>
  <si>
    <t>FY2024 BUDGET CHARTS</t>
  </si>
  <si>
    <t xml:space="preserve">   SCHOOL SAFETY AND SECURITY</t>
  </si>
  <si>
    <t>FY2025 GENERAL FUND (ROLLUP)</t>
  </si>
  <si>
    <t>FY2025 SPECIAL REVENUE (ROLLUP)</t>
  </si>
  <si>
    <t>FY2025 DEBT SERVICE (ROLLUP)</t>
  </si>
  <si>
    <t>FY2025 CAPITAL PROJECTS (ROLLUP)</t>
  </si>
  <si>
    <t>FY2025 SCHOOL NUTRITION (ROLLUP)</t>
  </si>
  <si>
    <t>TOTAL GENERAL OPERATIONS BUDGET
$1,656,341,388</t>
  </si>
  <si>
    <t>GENERAL OPERATIONS YTD EXPENSES
$722,596,279</t>
  </si>
  <si>
    <t>(LOCAL &amp; OTHER)  Budgeted: $992,348,398  Actual: $893,589,112  90.05%
(STATE)  Budgeted: $560,327,715  Actual: $229,827,712   41.02%
TOTAL Budgeted: $1,552,676,113  Actual: $1,123,416,824   72.35%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</si>
</sst>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0.0%"/>
  </numFmts>
  <fonts count="16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  <font>
      <sz val="11"/>
      <color indexed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63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8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0" xfId="2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7" xfId="2" applyNumberFormat="1" applyFill="1" applyBorder="1" applyAlignment="1">
      <alignment vertical="top"/>
    </xf>
    <xf numFmtId="38" fontId="12" fillId="0" borderId="38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2" xfId="2" applyNumberFormat="1" applyFont="1" applyFill="1" applyBorder="1" applyAlignment="1">
      <alignment horizontal="center" vertical="top"/>
    </xf>
    <xf numFmtId="10" fontId="12" fillId="16" borderId="38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7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39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40" fontId="6" fillId="0" borderId="0" xfId="2" applyNumberFormat="1" applyAlignment="1">
      <alignment vertical="top" wrapText="1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14" fillId="0" borderId="9" xfId="0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vertical="top"/>
    </xf>
    <xf numFmtId="38" fontId="0" fillId="0" borderId="0" xfId="0" applyNumberFormat="1"/>
    <xf numFmtId="40" fontId="11" fillId="0" borderId="0" xfId="2" applyNumberFormat="1" applyFont="1" applyAlignment="1">
      <alignment vertical="top"/>
    </xf>
    <xf numFmtId="40" fontId="3" fillId="0" borderId="0" xfId="0" applyNumberFormat="1" applyFont="1" applyFill="1"/>
    <xf numFmtId="38" fontId="15" fillId="0" borderId="33" xfId="2" applyNumberFormat="1" applyFont="1" applyFill="1" applyBorder="1" applyAlignment="1">
      <alignment horizontal="center" vertical="center" wrapText="1"/>
    </xf>
    <xf numFmtId="38" fontId="15" fillId="0" borderId="22" xfId="2" applyNumberFormat="1" applyFont="1" applyFill="1" applyBorder="1" applyAlignment="1">
      <alignment horizontal="center" vertical="center" wrapText="1"/>
    </xf>
    <xf numFmtId="38" fontId="15" fillId="0" borderId="38" xfId="2" applyNumberFormat="1" applyFont="1" applyFill="1" applyBorder="1" applyAlignment="1">
      <alignment horizontal="center" vertical="center" wrapText="1"/>
    </xf>
    <xf numFmtId="38" fontId="6" fillId="0" borderId="0" xfId="2" applyNumberFormat="1" applyAlignment="1">
      <alignment horizontal="center" vertical="top"/>
    </xf>
    <xf numFmtId="38" fontId="3" fillId="17" borderId="10" xfId="0" applyNumberFormat="1" applyFont="1" applyFill="1" applyBorder="1" applyAlignment="1">
      <alignment vertical="center"/>
    </xf>
    <xf numFmtId="38" fontId="0" fillId="0" borderId="36" xfId="0" applyNumberFormat="1" applyBorder="1"/>
    <xf numFmtId="38" fontId="0" fillId="0" borderId="5" xfId="0" applyNumberFormat="1" applyBorder="1"/>
    <xf numFmtId="38" fontId="0" fillId="0" borderId="8" xfId="0" applyNumberFormat="1" applyBorder="1"/>
    <xf numFmtId="0" fontId="3" fillId="0" borderId="22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FY2025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3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6.2970012399402933E-3"/>
                  <c:y val="-6.4307374391939481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6520980263625521"/>
                      <c:h val="8.0784558469160953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3.4403472885849148E-2"/>
                  <c:y val="7.8113287358233486E-3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5704652013784135"/>
                      <c:h val="9.5730834174129822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(2024)'!$B$15:$B$16</c:f>
              <c:numCache>
                <c:formatCode>"$"#,##0_);\("$"#,##0\)</c:formatCode>
                <c:ptCount val="2"/>
                <c:pt idx="0">
                  <c:v>933745108.91998971</c:v>
                </c:pt>
                <c:pt idx="1">
                  <c:v>722596279.20000041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ser>
          <c:idx val="1"/>
          <c:order val="1"/>
          <c:cat>
            <c:strRef>
              <c:f>'DATA for CHARTS (2024)'!$B$28</c:f>
              <c:strCache>
                <c:ptCount val="1"/>
                <c:pt idx="0">
                  <c:v>TOTAL GENERAL OPERATIONS BUDGET
$1,656,341,388</c:v>
                </c:pt>
              </c:strCache>
            </c:strRef>
          </c:cat>
          <c:val>
            <c:numRef>
              <c:f>'DATA for CHARTS (2024)'!$C$28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cat>
            <c:strRef>
              <c:f>'DATA for CHARTS (2024)'!$B$28</c:f>
              <c:strCache>
                <c:ptCount val="1"/>
                <c:pt idx="0">
                  <c:v>TOTAL GENERAL OPERATIONS BUDGET
$1,656,341,388</c:v>
                </c:pt>
              </c:strCache>
            </c:strRef>
          </c:cat>
          <c:val>
            <c:numRef>
              <c:f>'DATA for CHARTS (2024)'!$D$28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cat>
            <c:strRef>
              <c:f>'DATA for CHARTS (2024)'!$B$28</c:f>
              <c:strCache>
                <c:ptCount val="1"/>
                <c:pt idx="0">
                  <c:v>TOTAL GENERAL OPERATIONS BUDGET
$1,656,341,388</c:v>
                </c:pt>
              </c:strCache>
            </c:strRef>
          </c:cat>
          <c:val>
            <c:numRef>
              <c:f>'DATA for CHARTS (2024)'!$E$28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cat>
            <c:strRef>
              <c:f>'DATA for CHARTS (2024)'!$B$28</c:f>
              <c:strCache>
                <c:ptCount val="1"/>
                <c:pt idx="0">
                  <c:v>TOTAL GENERAL OPERATIONS BUDGET
$1,656,341,388</c:v>
                </c:pt>
              </c:strCache>
            </c:strRef>
          </c:cat>
          <c:val>
            <c:numRef>
              <c:f>'DATA for CHARTS (2024)'!$F$28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819587371036997"/>
          <c:y val="0.9261519258573524"/>
          <c:w val="0.33272226127200499"/>
          <c:h val="3.39785806040817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FY2025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3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061212508917829"/>
          <c:y val="0.25536608452345044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1.9846679145046689E-2"/>
                  <c:y val="-0.1037852831143795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4536938900691571"/>
                      <c:h val="4.821814762576397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.1388513045698776"/>
                  <c:y val="-8.167597610404379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5.8336505823165755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15929289179875575"/>
                  <c:y val="-3.8269588824514505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257912846149998"/>
                      <c:h val="8.3252928918891744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15589234896289919"/>
                  <c:y val="0.1104338509865923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7496057726986738E-2"/>
                  <c:y val="9.572348370588405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1835506519558676"/>
                  <c:y val="8.098274373563264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205564199159159"/>
                      <c:h val="5.4246733028912995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8.4631058529920491E-2"/>
                  <c:y val="0.1350136781119004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165643913367397"/>
                      <c:h val="5.925006200741127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0.13749726870901419"/>
                  <c:y val="7.241820003675233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1.3814145849622358E-2"/>
                  <c:y val="9.098291709573291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005386237452515"/>
                      <c:h val="6.8548878498791321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6.9089051932700984E-2"/>
                  <c:y val="9.771636207297072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83550651955867"/>
                      <c:h val="5.044473800088066E-2"/>
                    </c:manualLayout>
                  </c15:layout>
                </c:ext>
              </c:extLst>
            </c:dLbl>
            <c:dLbl>
              <c:idx val="10"/>
              <c:layout>
                <c:manualLayout>
                  <c:x val="-3.3296424707192442E-2"/>
                  <c:y val="-2.590651729960445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7.093058703670066E-2"/>
                  <c:y val="4.164567275854058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0.12684252231760901"/>
                  <c:y val="-5.896406938564647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0.10085648020176013"/>
                  <c:y val="-0.1467034883519348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4"/>
              <c:layout>
                <c:manualLayout>
                  <c:x val="-0.12537928746870533"/>
                  <c:y val="-6.0689903854488467E-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7.0780004054157228E-2"/>
                  <c:y val="-8.604985143039421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</c:strCache>
            </c:strRef>
          </c:cat>
          <c:val>
            <c:numRef>
              <c:f>'DATA for CHARTS (2024)'!$E$9:$E$24</c:f>
              <c:numCache>
                <c:formatCode>#,##0_);[Red]\(#,##0\)</c:formatCode>
                <c:ptCount val="16"/>
                <c:pt idx="0">
                  <c:v>380665392.88000041</c:v>
                </c:pt>
                <c:pt idx="1">
                  <c:v>38892446.909999952</c:v>
                </c:pt>
                <c:pt idx="2">
                  <c:v>8307897.0300000003</c:v>
                </c:pt>
                <c:pt idx="3">
                  <c:v>126301.32999999999</c:v>
                </c:pt>
                <c:pt idx="4">
                  <c:v>8796416.7699999996</c:v>
                </c:pt>
                <c:pt idx="5">
                  <c:v>36865021.090000018</c:v>
                </c:pt>
                <c:pt idx="6">
                  <c:v>42446750.370000049</c:v>
                </c:pt>
                <c:pt idx="7">
                  <c:v>10023098.039999995</c:v>
                </c:pt>
                <c:pt idx="8">
                  <c:v>92311098.859999999</c:v>
                </c:pt>
                <c:pt idx="9">
                  <c:v>663203.64999999991</c:v>
                </c:pt>
                <c:pt idx="10">
                  <c:v>31606059.029999997</c:v>
                </c:pt>
                <c:pt idx="11">
                  <c:v>27913267.170000013</c:v>
                </c:pt>
                <c:pt idx="12">
                  <c:v>1046897.2</c:v>
                </c:pt>
                <c:pt idx="13">
                  <c:v>0</c:v>
                </c:pt>
                <c:pt idx="14">
                  <c:v>432428.87</c:v>
                </c:pt>
                <c:pt idx="15">
                  <c:v>42500000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ser>
          <c:idx val="29"/>
          <c:order val="2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</c:strCache>
            </c:strRef>
          </c:cat>
          <c:val>
            <c:numRef>
              <c:f>'DATA for CHARTS (2024)'!$H$30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30"/>
          <c:order val="3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(2024)'!$B$28</c:f>
              <c:strCache>
                <c:ptCount val="1"/>
                <c:pt idx="0">
                  <c:v>TOTAL GENERAL OPERATIONS BUDGET
$1,656,341,388</c:v>
                </c:pt>
              </c:strCache>
            </c:strRef>
          </c:cat>
          <c:val>
            <c:numRef>
              <c:f>'DATA for CHARTS (2024)'!$C$28</c:f>
              <c:numCache>
                <c:formatCode>General</c:formatCode>
                <c:ptCount val="1"/>
              </c:numCache>
            </c:numRef>
          </c:val>
        </c:ser>
        <c:ser>
          <c:idx val="31"/>
          <c:order val="3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(2024)'!$B$28</c:f>
              <c:strCache>
                <c:ptCount val="1"/>
                <c:pt idx="0">
                  <c:v>TOTAL GENERAL OPERATIONS BUDGET
$1,656,341,388</c:v>
                </c:pt>
              </c:strCache>
            </c:strRef>
          </c:cat>
          <c:val>
            <c:numRef>
              <c:f>'DATA for CHARTS (2024)'!$D$28</c:f>
              <c:numCache>
                <c:formatCode>General</c:formatCode>
                <c:ptCount val="1"/>
              </c:numCache>
            </c:numRef>
          </c:val>
        </c:ser>
        <c:ser>
          <c:idx val="32"/>
          <c:order val="3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(2024)'!$B$28</c:f>
              <c:strCache>
                <c:ptCount val="1"/>
                <c:pt idx="0">
                  <c:v>TOTAL GENERAL OPERATIONS BUDGET
$1,656,341,388</c:v>
                </c:pt>
              </c:strCache>
            </c:strRef>
          </c:cat>
          <c:val>
            <c:numRef>
              <c:f>'DATA for CHARTS (2024)'!$E$28</c:f>
              <c:numCache>
                <c:formatCode>General</c:formatCode>
                <c:ptCount val="1"/>
              </c:numCache>
            </c:numRef>
          </c:val>
        </c:ser>
        <c:ser>
          <c:idx val="33"/>
          <c:order val="3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(2024)'!$B$28</c:f>
              <c:strCache>
                <c:ptCount val="1"/>
                <c:pt idx="0">
                  <c:v>TOTAL GENERAL OPERATIONS BUDGET
$1,656,341,388</c:v>
                </c:pt>
              </c:strCache>
            </c:strRef>
          </c:cat>
          <c:val>
            <c:numRef>
              <c:f>'DATA for CHARTS (2024)'!$F$28</c:f>
              <c:numCache>
                <c:formatCode>General</c:formatCode>
                <c:ptCount val="1"/>
              </c:numCache>
            </c:numRef>
          </c:val>
        </c:ser>
        <c:ser>
          <c:idx val="34"/>
          <c:order val="3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(2024)'!$I$30</c:f>
              <c:numCache>
                <c:formatCode>#,##0_);[Red]\(#,##0\)</c:formatCode>
                <c:ptCount val="1"/>
              </c:numCache>
            </c:numRef>
          </c:val>
        </c:ser>
        <c:ser>
          <c:idx val="35"/>
          <c:order val="3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(2024)'!$J$30</c:f>
              <c:numCache>
                <c:formatCode>#,##0_);[Red]\(#,##0\)</c:formatCode>
                <c:ptCount val="1"/>
              </c:numCache>
            </c:numRef>
          </c:val>
        </c:ser>
        <c:ser>
          <c:idx val="36"/>
          <c:order val="3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(2024)'!$K$30</c:f>
              <c:numCache>
                <c:formatCode>#,##0_);[Red]\(#,##0\)</c:formatCode>
                <c:ptCount val="1"/>
              </c:numCache>
            </c:numRef>
          </c:val>
        </c:ser>
        <c:ser>
          <c:idx val="37"/>
          <c:order val="3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(2024)'!$L$30</c:f>
              <c:numCache>
                <c:formatCode>#,##0_);[Red]\(#,##0\)</c:formatCode>
                <c:ptCount val="1"/>
              </c:numCache>
            </c:numRef>
          </c:val>
        </c:ser>
        <c:ser>
          <c:idx val="38"/>
          <c:order val="3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(2024)'!$I$30</c:f>
              <c:numCache>
                <c:formatCode>#,##0_);[Red]\(#,##0\)</c:formatCode>
                <c:ptCount val="1"/>
              </c:numCache>
            </c:numRef>
          </c:val>
        </c:ser>
        <c:ser>
          <c:idx val="39"/>
          <c:order val="3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(2024)'!$J$30</c:f>
              <c:numCache>
                <c:formatCode>#,##0_);[Red]\(#,##0\)</c:formatCode>
                <c:ptCount val="1"/>
              </c:numCache>
            </c:numRef>
          </c:val>
        </c:ser>
        <c:ser>
          <c:idx val="40"/>
          <c:order val="4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(2024)'!$K$30</c:f>
              <c:numCache>
                <c:formatCode>#,##0_);[Red]\(#,##0\)</c:formatCode>
                <c:ptCount val="1"/>
              </c:numCache>
            </c:numRef>
          </c:val>
        </c:ser>
        <c:ser>
          <c:idx val="41"/>
          <c:order val="4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$722,596,279</c:v>
                </c:pt>
              </c:strCache>
            </c:strRef>
          </c:cat>
          <c:val>
            <c:numRef>
              <c:f>'DATA for CHARTS (2024)'!$L$30</c:f>
              <c:numCache>
                <c:formatCode>#,##0_);[Red]\(#,##0\)</c:formatCode>
                <c:ptCount val="1"/>
              </c:numCache>
            </c:numRef>
          </c:val>
        </c:ser>
        <c:ser>
          <c:idx val="42"/>
          <c:order val="4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</c:strCache>
            </c:strRef>
          </c:cat>
          <c:val>
            <c:numRef>
              <c:f>'DATA for CHARTS (2024)'!$H$30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43"/>
          <c:order val="4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</c:strCache>
            </c:strRef>
          </c:cat>
          <c:val>
            <c:numRef>
              <c:f>'DATA for CHARTS (2024)'!$H$30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44"/>
          <c:order val="4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</c:strCache>
            </c:strRef>
          </c:cat>
          <c:val>
            <c:numRef>
              <c:f>'DATA for CHARTS (2024)'!$H$30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45"/>
          <c:order val="4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</c:strCache>
            </c:strRef>
          </c:cat>
          <c:val>
            <c:numRef>
              <c:f>'DATA for CHARTS (2024)'!$H$30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FY2025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</c:strCache>
            </c:strRef>
          </c:cat>
          <c:val>
            <c:numRef>
              <c:f>'DATA for CHARTS (2024)'!$E$9:$E$24</c:f>
              <c:numCache>
                <c:formatCode>#,##0_);[Red]\(#,##0\)</c:formatCode>
                <c:ptCount val="16"/>
                <c:pt idx="0">
                  <c:v>380665392.88000041</c:v>
                </c:pt>
                <c:pt idx="1">
                  <c:v>38892446.909999952</c:v>
                </c:pt>
                <c:pt idx="2">
                  <c:v>8307897.0300000003</c:v>
                </c:pt>
                <c:pt idx="3">
                  <c:v>126301.32999999999</c:v>
                </c:pt>
                <c:pt idx="4">
                  <c:v>8796416.7699999996</c:v>
                </c:pt>
                <c:pt idx="5">
                  <c:v>36865021.090000018</c:v>
                </c:pt>
                <c:pt idx="6">
                  <c:v>42446750.370000049</c:v>
                </c:pt>
                <c:pt idx="7">
                  <c:v>10023098.039999995</c:v>
                </c:pt>
                <c:pt idx="8">
                  <c:v>92311098.859999999</c:v>
                </c:pt>
                <c:pt idx="9">
                  <c:v>663203.64999999991</c:v>
                </c:pt>
                <c:pt idx="10">
                  <c:v>31606059.029999997</c:v>
                </c:pt>
                <c:pt idx="11">
                  <c:v>27913267.170000013</c:v>
                </c:pt>
                <c:pt idx="12">
                  <c:v>1046897.2</c:v>
                </c:pt>
                <c:pt idx="13">
                  <c:v>0</c:v>
                </c:pt>
                <c:pt idx="14">
                  <c:v>432428.87</c:v>
                </c:pt>
                <c:pt idx="15">
                  <c:v>42500000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65083936"/>
        <c:axId val="2065086680"/>
      </c:barChart>
      <c:valAx>
        <c:axId val="2065086680"/>
        <c:scaling>
          <c:orientation val="minMax"/>
          <c:max val="40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5083936"/>
        <c:crosses val="autoZero"/>
        <c:crossBetween val="between"/>
        <c:majorUnit val="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20650839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5086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FY2025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(2024)'!$B$70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(2024)'!$A$71:$A$75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(2024)'!$B$71:$B$75</c:f>
              <c:numCache>
                <c:formatCode>#,##0_);[Red]\(#,##0\)</c:formatCode>
                <c:ptCount val="5"/>
                <c:pt idx="0">
                  <c:v>970273398</c:v>
                </c:pt>
                <c:pt idx="1">
                  <c:v>15000000</c:v>
                </c:pt>
                <c:pt idx="2">
                  <c:v>560327715</c:v>
                </c:pt>
                <c:pt idx="3">
                  <c:v>7075000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(2024)'!$C$70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(2024)'!$A$71:$A$75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(2024)'!$C$71:$C$75</c:f>
              <c:numCache>
                <c:formatCode>#,##0_);[Red]\(#,##0\)</c:formatCode>
                <c:ptCount val="5"/>
                <c:pt idx="0">
                  <c:v>882271632.45999992</c:v>
                </c:pt>
                <c:pt idx="1">
                  <c:v>11207934.240000002</c:v>
                </c:pt>
                <c:pt idx="2">
                  <c:v>229827711.80000001</c:v>
                </c:pt>
                <c:pt idx="3">
                  <c:v>0</c:v>
                </c:pt>
                <c:pt idx="4">
                  <c:v>109545.11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(2024)'!$R$57</c:f>
              <c:strCache>
                <c:ptCount val="1"/>
                <c:pt idx="0">
                  <c:v>(LOCAL &amp; OTHER)  Budgeted: $992,348,398  Actual: $893,589,112  90.05%
(STATE)  Budgeted: $560,327,715  Actual: $229,827,712   41.02%
TOTAL Budgeted: $1,552,676,113  Actual: $1,123,416,824   72.35%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(2024)'!$R$57</c:f>
              <c:strCache>
                <c:ptCount val="1"/>
                <c:pt idx="0">
                  <c:v>(LOCAL &amp; OTHER)  Budgeted: $992,348,398  Actual: $893,589,112  90.05%
(STATE)  Budgeted: $560,327,715  Actual: $229,827,712   41.02%
TOTAL Budgeted: $1,552,676,113  Actual: $1,123,416,824   72.35%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(2024)'!$A$71:$A$75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(2024)'!$R$57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(2024)'!$A$71:$A$75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(2024)'!$R$57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5082368"/>
        <c:axId val="206508707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(2024)'!$A$71:$A$75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(2024)'!$A$71:$A$75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(2024)'!$A$71:$A$75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$992,348,398  Actual: $893,589,112  90.05%
(STATE)  Budgeted: $560,327,715  Actual: $229,827,712   41.02%
TOTAL Budgeted: $1,552,676,113  Actual: $1,123,416,824   72.35%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(2024)'!$U$58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$992,348,398  Actual: $893,589,112  90.05%
(STATE)  Budgeted: $560,327,715  Actual: $229,827,712   41.02%
TOTAL Budgeted: $1,552,676,113  Actual: $1,123,416,824   72.35%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(2024)'!$T$58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$992,348,398  Actual: $893,589,112  90.05%
(STATE)  Budgeted: $560,327,715  Actual: $229,827,712   41.02%
TOTAL Budgeted: $1,552,676,113  Actual: $1,123,416,824   72.35%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(2024)'!$U$58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$992,348,398  Actual: $893,589,112  90.05%
(STATE)  Budgeted: $560,327,715  Actual: $229,827,712   41.02%
TOTAL Budgeted: $1,552,676,113  Actual: $1,123,416,824   72.35%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(2024)'!$T$58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206508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5087072"/>
        <c:crosses val="autoZero"/>
        <c:auto val="1"/>
        <c:lblAlgn val="ctr"/>
        <c:lblOffset val="500"/>
        <c:noMultiLvlLbl val="0"/>
      </c:catAx>
      <c:valAx>
        <c:axId val="206508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5082368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4797779164265"/>
          <c:h val="0.178336783199325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5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6"/>
  <sheetViews>
    <sheetView workbookViewId="0"/>
  </sheetViews>
  <pageMargins left="0.25" right="0.25" top="0.25" bottom="0.25" header="0" footer="0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4)'!$B$28:$F$28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52" y="974828"/>
          <a:ext cx="5716847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$1,656,341,388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$722,596,279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TOTAL GENERAL OPERATIONS BUDGET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$1,656,341,388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$992,348,398  Actual: $893,589,112  90.05%</a:t>
          </a:r>
        </a:p>
        <a:p xmlns:a="http://schemas.openxmlformats.org/drawingml/2006/main">
          <a:pPr algn="ctr"/>
          <a:r>
            <a:rPr lang="en-US" sz="1100"/>
            <a:t>(STATE)  Budgeted: $560,327,715  Actual: $229,827,712   41.02%</a:t>
          </a:r>
        </a:p>
        <a:p xmlns:a="http://schemas.openxmlformats.org/drawingml/2006/main">
          <a:pPr algn="ctr"/>
          <a:r>
            <a:rPr lang="en-US" sz="1100"/>
            <a:t>TOTAL Budgeted: $1,552,676,113  Actual: $1,123,416,824   72.35%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80"/>
  <sheetViews>
    <sheetView tabSelected="1" workbookViewId="0">
      <selection sqref="A1:I1"/>
    </sheetView>
  </sheetViews>
  <sheetFormatPr defaultRowHeight="15" x14ac:dyDescent="0.25"/>
  <cols>
    <col min="1" max="1" width="49.7109375" style="1" bestFit="1" customWidth="1"/>
    <col min="2" max="2" width="19.140625" style="28" bestFit="1" customWidth="1"/>
    <col min="3" max="3" width="21" style="28" bestFit="1" customWidth="1"/>
    <col min="4" max="4" width="14.42578125" style="28" bestFit="1" customWidth="1"/>
    <col min="5" max="5" width="16.140625" style="28" bestFit="1" customWidth="1"/>
    <col min="6" max="6" width="16.28515625" style="28" customWidth="1"/>
    <col min="7" max="7" width="16.140625" style="28" bestFit="1" customWidth="1"/>
    <col min="8" max="8" width="14.7109375" style="28" bestFit="1" customWidth="1"/>
    <col min="9" max="9" width="12.42578125" style="1" customWidth="1"/>
    <col min="10" max="10" width="3.5703125" style="1" customWidth="1"/>
    <col min="11" max="11" width="49.7109375" style="1" bestFit="1" customWidth="1"/>
    <col min="12" max="15" width="14.5703125" style="127" bestFit="1" customWidth="1"/>
    <col min="16" max="16" width="13.5703125" style="127" bestFit="1" customWidth="1"/>
    <col min="17" max="16384" width="9.140625" style="1"/>
  </cols>
  <sheetData>
    <row r="1" spans="1:22" x14ac:dyDescent="0.25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K1" s="128"/>
      <c r="L1" s="128"/>
      <c r="M1" s="128"/>
      <c r="N1" s="128"/>
      <c r="O1" s="128"/>
    </row>
    <row r="2" spans="1:22" ht="18.75" x14ac:dyDescent="0.3">
      <c r="A2" s="149" t="s">
        <v>77</v>
      </c>
      <c r="B2" s="149"/>
      <c r="C2" s="149"/>
      <c r="D2" s="149"/>
      <c r="E2" s="149"/>
      <c r="F2" s="149"/>
      <c r="G2" s="149"/>
      <c r="H2" s="149"/>
      <c r="I2" s="149"/>
      <c r="K2" s="128"/>
      <c r="L2" s="128"/>
      <c r="M2" s="128"/>
      <c r="N2" s="128"/>
      <c r="O2" s="128"/>
    </row>
    <row r="3" spans="1:22" x14ac:dyDescent="0.25">
      <c r="A3" s="148" t="s">
        <v>1</v>
      </c>
      <c r="B3" s="148"/>
      <c r="C3" s="148"/>
      <c r="D3" s="148"/>
      <c r="E3" s="148"/>
      <c r="F3" s="148"/>
      <c r="G3" s="148"/>
      <c r="H3" s="148"/>
      <c r="I3" s="148"/>
      <c r="K3" s="128"/>
      <c r="L3" s="128"/>
      <c r="M3" s="128"/>
      <c r="N3" s="128"/>
      <c r="O3" s="128"/>
    </row>
    <row r="4" spans="1:22" x14ac:dyDescent="0.25">
      <c r="A4" s="150">
        <v>45657</v>
      </c>
      <c r="B4" s="150"/>
      <c r="C4" s="150"/>
      <c r="D4" s="150"/>
      <c r="E4" s="150"/>
      <c r="F4" s="150"/>
      <c r="G4" s="150"/>
      <c r="H4" s="150"/>
      <c r="I4" s="150"/>
      <c r="K4" s="128"/>
      <c r="L4" s="128"/>
      <c r="M4" s="128"/>
      <c r="N4" s="128"/>
      <c r="O4" s="128"/>
    </row>
    <row r="5" spans="1:22" x14ac:dyDescent="0.25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K5" s="128"/>
      <c r="L5" s="128"/>
      <c r="M5" s="128"/>
      <c r="N5" s="128"/>
      <c r="O5" s="128"/>
    </row>
    <row r="6" spans="1:22" ht="15.75" thickBot="1" x14ac:dyDescent="0.3">
      <c r="A6" s="148"/>
      <c r="B6" s="148"/>
      <c r="C6" s="148"/>
      <c r="D6" s="148"/>
      <c r="E6" s="148"/>
      <c r="F6" s="148"/>
      <c r="G6" s="148"/>
      <c r="H6" s="148"/>
      <c r="I6" s="148"/>
      <c r="K6" s="128"/>
      <c r="L6" s="128"/>
      <c r="M6" s="128"/>
      <c r="N6" s="128"/>
      <c r="O6" s="128"/>
    </row>
    <row r="7" spans="1:22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K7" s="128"/>
      <c r="L7" s="128"/>
      <c r="M7" s="128"/>
      <c r="N7" s="128"/>
      <c r="O7" s="128"/>
      <c r="P7" s="128"/>
    </row>
    <row r="8" spans="1:22" s="5" customFormat="1" x14ac:dyDescent="0.2">
      <c r="A8" s="6" t="s">
        <v>8</v>
      </c>
      <c r="B8" s="7">
        <v>970273398</v>
      </c>
      <c r="C8" s="7">
        <v>970273398</v>
      </c>
      <c r="D8" s="7">
        <v>57783648.099999994</v>
      </c>
      <c r="E8" s="7">
        <v>882271632.45999992</v>
      </c>
      <c r="F8" s="7">
        <v>0</v>
      </c>
      <c r="G8" s="7">
        <f t="shared" ref="G8:G30" si="0">SUM(E8:F8)</f>
        <v>882271632.45999992</v>
      </c>
      <c r="H8" s="7">
        <f t="shared" ref="H8:H12" si="1">C8-G8</f>
        <v>88001765.540000081</v>
      </c>
      <c r="I8" s="33">
        <f>IF(C8=0,"NA",H8/C8)</f>
        <v>9.0697906096772196E-2</v>
      </c>
      <c r="K8"/>
      <c r="L8" s="129"/>
      <c r="M8" s="129"/>
      <c r="N8" s="129"/>
      <c r="O8" s="129"/>
      <c r="P8" s="129"/>
      <c r="R8" s="128"/>
      <c r="S8" s="128"/>
      <c r="T8" s="128"/>
      <c r="U8" s="128"/>
      <c r="V8" s="128"/>
    </row>
    <row r="9" spans="1:22" s="5" customFormat="1" x14ac:dyDescent="0.2">
      <c r="A9" s="6" t="s">
        <v>9</v>
      </c>
      <c r="B9" s="7">
        <v>15000000</v>
      </c>
      <c r="C9" s="7">
        <v>15000000</v>
      </c>
      <c r="D9" s="7">
        <v>2803664.89</v>
      </c>
      <c r="E9" s="7">
        <v>11207934.24</v>
      </c>
      <c r="F9" s="7">
        <v>0</v>
      </c>
      <c r="G9" s="7">
        <f>SUM(E9:F9)</f>
        <v>11207934.24</v>
      </c>
      <c r="H9" s="7">
        <f>C9-G9</f>
        <v>3792065.76</v>
      </c>
      <c r="I9" s="33">
        <f t="shared" ref="I9:I30" si="2">IF(C9=0,"NA",H9/C9)</f>
        <v>0.25280438399999999</v>
      </c>
      <c r="K9"/>
      <c r="L9" s="129"/>
      <c r="M9" s="129"/>
      <c r="N9" s="129"/>
      <c r="O9" s="129"/>
      <c r="P9" s="129"/>
      <c r="R9" s="128"/>
      <c r="S9" s="128"/>
      <c r="T9" s="128"/>
      <c r="U9" s="128"/>
      <c r="V9" s="128"/>
    </row>
    <row r="10" spans="1:22" s="5" customFormat="1" x14ac:dyDescent="0.2">
      <c r="A10" s="6" t="s">
        <v>10</v>
      </c>
      <c r="B10" s="7">
        <v>559830156</v>
      </c>
      <c r="C10" s="7">
        <v>560327715</v>
      </c>
      <c r="D10" s="7">
        <v>53028717.200000003</v>
      </c>
      <c r="E10" s="7">
        <v>229827711.80000001</v>
      </c>
      <c r="F10" s="7">
        <v>0</v>
      </c>
      <c r="G10" s="7">
        <f t="shared" si="0"/>
        <v>229827711.80000001</v>
      </c>
      <c r="H10" s="7">
        <f t="shared" si="1"/>
        <v>330500003.19999999</v>
      </c>
      <c r="I10" s="33">
        <f t="shared" si="2"/>
        <v>0.58983340347532154</v>
      </c>
      <c r="K10"/>
      <c r="L10" s="129"/>
      <c r="M10" s="129"/>
      <c r="N10" s="129"/>
      <c r="O10" s="129"/>
      <c r="P10" s="129"/>
      <c r="R10" s="128"/>
      <c r="S10" s="128"/>
      <c r="T10" s="128"/>
      <c r="U10" s="128"/>
      <c r="V10" s="128"/>
    </row>
    <row r="11" spans="1:22" s="5" customFormat="1" x14ac:dyDescent="0.2">
      <c r="A11" s="6" t="s">
        <v>74</v>
      </c>
      <c r="B11" s="7">
        <v>0</v>
      </c>
      <c r="C11" s="7">
        <v>7075000</v>
      </c>
      <c r="D11" s="7">
        <v>0</v>
      </c>
      <c r="E11" s="7">
        <v>0</v>
      </c>
      <c r="F11" s="7">
        <v>0</v>
      </c>
      <c r="G11" s="7">
        <f t="shared" ref="G11" si="3">SUM(E11:F11)</f>
        <v>0</v>
      </c>
      <c r="H11" s="7">
        <f t="shared" ref="H11" si="4">C11-G11</f>
        <v>7075000</v>
      </c>
      <c r="I11" s="33">
        <f t="shared" ref="I11" si="5">IF(C11=0,"NA",H11/C11)</f>
        <v>1</v>
      </c>
      <c r="K11"/>
      <c r="L11" s="129"/>
      <c r="M11" s="129"/>
      <c r="N11" s="129"/>
      <c r="O11" s="129"/>
      <c r="P11" s="129"/>
      <c r="R11" s="128"/>
      <c r="S11" s="128"/>
      <c r="T11" s="128"/>
      <c r="U11" s="128"/>
      <c r="V11" s="128"/>
    </row>
    <row r="12" spans="1:22" s="5" customFormat="1" x14ac:dyDescent="0.2">
      <c r="A12" s="6" t="s">
        <v>11</v>
      </c>
      <c r="B12" s="7">
        <v>0</v>
      </c>
      <c r="C12" s="7">
        <v>0</v>
      </c>
      <c r="D12" s="7">
        <v>0</v>
      </c>
      <c r="E12" s="7">
        <v>109545.11</v>
      </c>
      <c r="F12" s="7">
        <v>0</v>
      </c>
      <c r="G12" s="7">
        <f t="shared" si="0"/>
        <v>109545.11</v>
      </c>
      <c r="H12" s="7">
        <f t="shared" si="1"/>
        <v>-109545.11</v>
      </c>
      <c r="I12" s="33" t="str">
        <f t="shared" si="2"/>
        <v>NA</v>
      </c>
      <c r="K12"/>
      <c r="L12" s="129"/>
      <c r="M12" s="129"/>
      <c r="N12" s="129"/>
      <c r="O12" s="129"/>
      <c r="P12" s="129"/>
      <c r="R12" s="128"/>
      <c r="S12" s="128"/>
      <c r="T12" s="128"/>
      <c r="U12" s="128"/>
      <c r="V12" s="128"/>
    </row>
    <row r="13" spans="1:22" s="5" customFormat="1" ht="24.95" customHeight="1" x14ac:dyDescent="0.25">
      <c r="A13" s="10" t="s">
        <v>12</v>
      </c>
      <c r="B13" s="11">
        <f t="shared" ref="B13:H13" si="6">SUM(B8:B12)</f>
        <v>1545103554</v>
      </c>
      <c r="C13" s="11">
        <f t="shared" si="6"/>
        <v>1552676113</v>
      </c>
      <c r="D13" s="11">
        <f t="shared" si="6"/>
        <v>113616030.19</v>
      </c>
      <c r="E13" s="11">
        <f t="shared" si="6"/>
        <v>1123416823.6099999</v>
      </c>
      <c r="F13" s="11">
        <f t="shared" si="6"/>
        <v>0</v>
      </c>
      <c r="G13" s="11">
        <f t="shared" si="6"/>
        <v>1123416823.6099999</v>
      </c>
      <c r="H13" s="11">
        <f t="shared" si="6"/>
        <v>429259289.39000005</v>
      </c>
      <c r="I13" s="34">
        <f t="shared" si="2"/>
        <v>0.27646415488456738</v>
      </c>
      <c r="K13" s="1"/>
      <c r="L13" s="1"/>
      <c r="M13" s="1"/>
      <c r="N13" s="1"/>
      <c r="O13" s="127"/>
      <c r="P13" s="1"/>
      <c r="Q13" s="1"/>
      <c r="R13" s="1"/>
    </row>
    <row r="14" spans="1:22" s="5" customFormat="1" x14ac:dyDescent="0.25">
      <c r="A14" s="12" t="s">
        <v>13</v>
      </c>
      <c r="B14" s="13">
        <v>881281747.0299896</v>
      </c>
      <c r="C14" s="13">
        <v>891600040.56998968</v>
      </c>
      <c r="D14" s="13">
        <v>87902918.649999753</v>
      </c>
      <c r="E14" s="13">
        <v>380665392.88000047</v>
      </c>
      <c r="F14" s="13">
        <v>5995359.1500000022</v>
      </c>
      <c r="G14" s="13">
        <f t="shared" si="0"/>
        <v>386660752.03000045</v>
      </c>
      <c r="H14" s="13">
        <f t="shared" ref="H14:H30" si="7">C14-G14</f>
        <v>504939288.53998923</v>
      </c>
      <c r="I14" s="33">
        <f t="shared" si="2"/>
        <v>0.56632936918350441</v>
      </c>
      <c r="K14" s="127"/>
      <c r="L14" s="127"/>
      <c r="M14" s="127"/>
      <c r="N14" s="127"/>
      <c r="O14" s="127"/>
      <c r="P14" s="128"/>
      <c r="Q14" s="128"/>
      <c r="R14" s="128"/>
      <c r="S14" s="128"/>
      <c r="T14" s="128"/>
      <c r="U14" s="128"/>
      <c r="V14" s="128"/>
    </row>
    <row r="15" spans="1:22" s="5" customFormat="1" x14ac:dyDescent="0.25">
      <c r="A15" s="6" t="s">
        <v>14</v>
      </c>
      <c r="B15" s="7">
        <v>93144658.279999956</v>
      </c>
      <c r="C15" s="7">
        <v>89270006.909999952</v>
      </c>
      <c r="D15" s="7">
        <v>8864977.8600000031</v>
      </c>
      <c r="E15" s="7">
        <v>38892446.909999952</v>
      </c>
      <c r="F15" s="7">
        <v>2166086.1299999994</v>
      </c>
      <c r="G15" s="7">
        <f t="shared" si="0"/>
        <v>41058533.039999954</v>
      </c>
      <c r="H15" s="7">
        <f t="shared" si="7"/>
        <v>48211473.869999997</v>
      </c>
      <c r="I15" s="33">
        <f t="shared" si="2"/>
        <v>0.54006351672634845</v>
      </c>
      <c r="K15" s="127"/>
      <c r="L15" s="127"/>
      <c r="M15" s="127"/>
      <c r="N15" s="127"/>
      <c r="O15" s="127"/>
      <c r="P15" s="128"/>
      <c r="Q15" s="128"/>
      <c r="R15" s="128"/>
      <c r="S15" s="128"/>
      <c r="T15" s="128"/>
      <c r="U15" s="128"/>
      <c r="V15" s="128"/>
    </row>
    <row r="16" spans="1:22" s="5" customFormat="1" x14ac:dyDescent="0.25">
      <c r="A16" s="6" t="s">
        <v>15</v>
      </c>
      <c r="B16" s="7">
        <v>23374032.369999971</v>
      </c>
      <c r="C16" s="7">
        <v>23579397.549999975</v>
      </c>
      <c r="D16" s="7">
        <v>1404853.1699999992</v>
      </c>
      <c r="E16" s="7">
        <v>8307897.0299999993</v>
      </c>
      <c r="F16" s="7">
        <v>1226771.7899999993</v>
      </c>
      <c r="G16" s="7">
        <f t="shared" si="0"/>
        <v>9534668.8199999984</v>
      </c>
      <c r="H16" s="7">
        <f t="shared" si="7"/>
        <v>14044728.729999976</v>
      </c>
      <c r="I16" s="33">
        <f t="shared" si="2"/>
        <v>0.59563560520230474</v>
      </c>
      <c r="K16" s="127"/>
      <c r="L16" s="127"/>
      <c r="M16" s="127"/>
      <c r="N16" s="127"/>
      <c r="O16" s="127"/>
      <c r="P16" s="128"/>
      <c r="Q16" s="128"/>
      <c r="R16" s="128"/>
      <c r="S16" s="128"/>
      <c r="T16" s="128"/>
      <c r="U16" s="128"/>
      <c r="V16" s="128"/>
    </row>
    <row r="17" spans="1:22" s="5" customFormat="1" x14ac:dyDescent="0.2">
      <c r="A17" s="6" t="s">
        <v>16</v>
      </c>
      <c r="B17" s="7">
        <v>659974.74</v>
      </c>
      <c r="C17" s="7">
        <v>833326.61</v>
      </c>
      <c r="D17" s="7">
        <v>8991.5</v>
      </c>
      <c r="E17" s="7">
        <v>126301.32999999997</v>
      </c>
      <c r="F17" s="7">
        <v>675</v>
      </c>
      <c r="G17" s="7">
        <f t="shared" si="0"/>
        <v>126976.32999999997</v>
      </c>
      <c r="H17" s="7">
        <f t="shared" si="7"/>
        <v>706350.28</v>
      </c>
      <c r="I17" s="33">
        <f t="shared" si="2"/>
        <v>0.8476271746560452</v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</row>
    <row r="18" spans="1:22" s="5" customFormat="1" x14ac:dyDescent="0.2">
      <c r="A18" s="6" t="s">
        <v>17</v>
      </c>
      <c r="B18" s="7">
        <v>16287854.610000025</v>
      </c>
      <c r="C18" s="7">
        <v>18124378.080000017</v>
      </c>
      <c r="D18" s="7">
        <v>1894585.0499999982</v>
      </c>
      <c r="E18" s="7">
        <v>8796416.7699999996</v>
      </c>
      <c r="F18" s="7">
        <v>110242.64000000004</v>
      </c>
      <c r="G18" s="7">
        <f t="shared" si="0"/>
        <v>8906659.4100000001</v>
      </c>
      <c r="H18" s="7">
        <f t="shared" si="7"/>
        <v>9217718.6700000167</v>
      </c>
      <c r="I18" s="33">
        <f t="shared" si="2"/>
        <v>0.50858123955004186</v>
      </c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</row>
    <row r="19" spans="1:22" s="5" customFormat="1" x14ac:dyDescent="0.2">
      <c r="A19" s="6" t="s">
        <v>18</v>
      </c>
      <c r="B19" s="7">
        <v>63618909.000000127</v>
      </c>
      <c r="C19" s="7">
        <v>78111213.120000154</v>
      </c>
      <c r="D19" s="7">
        <v>3281478.9</v>
      </c>
      <c r="E19" s="7">
        <v>36865021.090000018</v>
      </c>
      <c r="F19" s="7">
        <v>2316363.8000000003</v>
      </c>
      <c r="G19" s="7">
        <f t="shared" si="0"/>
        <v>39181384.890000015</v>
      </c>
      <c r="H19" s="7">
        <f t="shared" si="7"/>
        <v>38929828.230000138</v>
      </c>
      <c r="I19" s="33">
        <f t="shared" si="2"/>
        <v>0.49838975321242662</v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</row>
    <row r="20" spans="1:22" s="5" customFormat="1" x14ac:dyDescent="0.2">
      <c r="A20" s="6" t="s">
        <v>19</v>
      </c>
      <c r="B20" s="7">
        <v>71833295.980000466</v>
      </c>
      <c r="C20" s="7">
        <v>71818920.450000465</v>
      </c>
      <c r="D20" s="7">
        <v>7904375.4899999993</v>
      </c>
      <c r="E20" s="7">
        <v>42446750.370000057</v>
      </c>
      <c r="F20" s="7">
        <v>6089.27</v>
      </c>
      <c r="G20" s="7">
        <f t="shared" si="0"/>
        <v>42452839.64000006</v>
      </c>
      <c r="H20" s="7">
        <f t="shared" si="7"/>
        <v>29366080.810000405</v>
      </c>
      <c r="I20" s="33">
        <f t="shared" si="2"/>
        <v>0.40889059075240131</v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</row>
    <row r="21" spans="1:22" s="5" customFormat="1" x14ac:dyDescent="0.2">
      <c r="A21" s="6" t="s">
        <v>20</v>
      </c>
      <c r="B21" s="7">
        <v>21718626.970000003</v>
      </c>
      <c r="C21" s="7">
        <v>23371897.960000005</v>
      </c>
      <c r="D21" s="7">
        <v>1768691.63</v>
      </c>
      <c r="E21" s="7">
        <v>10023098.039999997</v>
      </c>
      <c r="F21" s="7">
        <v>1532489.48</v>
      </c>
      <c r="G21" s="7">
        <f t="shared" si="0"/>
        <v>11555587.519999998</v>
      </c>
      <c r="H21" s="7">
        <f t="shared" si="7"/>
        <v>11816310.440000007</v>
      </c>
      <c r="I21" s="33">
        <f t="shared" si="2"/>
        <v>0.50557770105890043</v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</row>
    <row r="22" spans="1:22" s="5" customFormat="1" x14ac:dyDescent="0.2">
      <c r="A22" s="6" t="s">
        <v>70</v>
      </c>
      <c r="B22" s="7">
        <v>261530763.45999974</v>
      </c>
      <c r="C22" s="7">
        <v>258050277.83999977</v>
      </c>
      <c r="D22" s="7">
        <v>13297677.279999988</v>
      </c>
      <c r="E22" s="7">
        <v>92311098.860000014</v>
      </c>
      <c r="F22" s="7">
        <v>27420206.080000002</v>
      </c>
      <c r="G22" s="7">
        <f t="shared" si="0"/>
        <v>119731304.94000001</v>
      </c>
      <c r="H22" s="7">
        <f t="shared" si="7"/>
        <v>138318972.89999974</v>
      </c>
      <c r="I22" s="33">
        <f t="shared" si="2"/>
        <v>0.53601559377418051</v>
      </c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</row>
    <row r="23" spans="1:22" s="5" customFormat="1" x14ac:dyDescent="0.2">
      <c r="A23" s="6" t="s">
        <v>76</v>
      </c>
      <c r="B23" s="7">
        <v>0</v>
      </c>
      <c r="C23" s="7">
        <v>0</v>
      </c>
      <c r="D23" s="7">
        <v>236234.95</v>
      </c>
      <c r="E23" s="7">
        <v>663203.64999999991</v>
      </c>
      <c r="F23" s="7">
        <v>0</v>
      </c>
      <c r="G23" s="7">
        <f t="shared" ref="G23" si="8">SUM(E23:F23)</f>
        <v>663203.64999999991</v>
      </c>
      <c r="H23" s="7">
        <f t="shared" ref="H23" si="9">C23-G23</f>
        <v>-663203.64999999991</v>
      </c>
      <c r="I23" s="33" t="str">
        <f t="shared" ref="I23" si="10">IF(C23=0,"NA",H23/C23)</f>
        <v>NA</v>
      </c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</row>
    <row r="24" spans="1:22" s="5" customFormat="1" x14ac:dyDescent="0.2">
      <c r="A24" s="6" t="s">
        <v>21</v>
      </c>
      <c r="B24" s="7">
        <v>95740171.480000004</v>
      </c>
      <c r="C24" s="7">
        <v>106481303.48</v>
      </c>
      <c r="D24" s="7">
        <v>6097318.6199999982</v>
      </c>
      <c r="E24" s="7">
        <v>31606059.029999997</v>
      </c>
      <c r="F24" s="7">
        <v>8163815.1899999995</v>
      </c>
      <c r="G24" s="7">
        <f t="shared" si="0"/>
        <v>39769874.219999999</v>
      </c>
      <c r="H24" s="7">
        <f t="shared" si="7"/>
        <v>66711429.260000005</v>
      </c>
      <c r="I24" s="33">
        <f t="shared" si="2"/>
        <v>0.62650838297194744</v>
      </c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</row>
    <row r="25" spans="1:22" s="5" customFormat="1" x14ac:dyDescent="0.2">
      <c r="A25" s="6" t="s">
        <v>22</v>
      </c>
      <c r="B25" s="7">
        <v>43721314.939999998</v>
      </c>
      <c r="C25" s="7">
        <v>44026110.079999998</v>
      </c>
      <c r="D25" s="7">
        <v>4610200.0600000005</v>
      </c>
      <c r="E25" s="7">
        <v>27913267.170000017</v>
      </c>
      <c r="F25" s="7">
        <v>7546442.4000000013</v>
      </c>
      <c r="G25" s="7">
        <f t="shared" si="0"/>
        <v>35459709.570000015</v>
      </c>
      <c r="H25" s="7">
        <f t="shared" si="7"/>
        <v>8566400.509999983</v>
      </c>
      <c r="I25" s="33">
        <f t="shared" si="2"/>
        <v>0.19457545748270622</v>
      </c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</row>
    <row r="26" spans="1:22" s="5" customFormat="1" x14ac:dyDescent="0.25">
      <c r="A26" s="6" t="s">
        <v>23</v>
      </c>
      <c r="B26" s="7">
        <v>1492693.29</v>
      </c>
      <c r="C26" s="7">
        <v>1566299.47</v>
      </c>
      <c r="D26" s="7">
        <v>262579.89</v>
      </c>
      <c r="E26" s="7">
        <v>1046897.2000000001</v>
      </c>
      <c r="F26" s="7">
        <v>0</v>
      </c>
      <c r="G26" s="7">
        <f t="shared" si="0"/>
        <v>1046897.2000000001</v>
      </c>
      <c r="H26" s="7">
        <f t="shared" si="7"/>
        <v>519402.2699999999</v>
      </c>
      <c r="I26" s="33">
        <f t="shared" si="2"/>
        <v>0.33161108711860826</v>
      </c>
      <c r="K26" s="1"/>
      <c r="L26" s="127"/>
      <c r="M26" s="127"/>
      <c r="N26" s="127"/>
      <c r="O26" s="127"/>
      <c r="P26" s="127"/>
      <c r="Q26" s="128"/>
      <c r="R26" s="128"/>
      <c r="S26" s="128"/>
      <c r="T26" s="128"/>
      <c r="U26" s="128"/>
      <c r="V26" s="128"/>
    </row>
    <row r="27" spans="1:22" s="5" customFormat="1" x14ac:dyDescent="0.25">
      <c r="A27" s="6" t="s">
        <v>29</v>
      </c>
      <c r="B27" s="7">
        <v>351273</v>
      </c>
      <c r="C27" s="7">
        <v>351273</v>
      </c>
      <c r="D27" s="7">
        <v>0</v>
      </c>
      <c r="E27" s="7">
        <v>0</v>
      </c>
      <c r="F27" s="7">
        <v>0</v>
      </c>
      <c r="G27" s="7">
        <f t="shared" si="0"/>
        <v>0</v>
      </c>
      <c r="H27" s="7">
        <f t="shared" si="7"/>
        <v>351273</v>
      </c>
      <c r="I27" s="33">
        <f t="shared" si="2"/>
        <v>1</v>
      </c>
      <c r="K27" s="1"/>
      <c r="L27" s="127"/>
      <c r="M27" s="127"/>
      <c r="N27" s="127"/>
      <c r="O27" s="127"/>
      <c r="P27" s="127"/>
      <c r="Q27" s="128"/>
      <c r="R27" s="128"/>
      <c r="S27" s="128"/>
      <c r="T27" s="128"/>
      <c r="U27" s="128"/>
      <c r="V27" s="128"/>
    </row>
    <row r="28" spans="1:22" s="5" customFormat="1" x14ac:dyDescent="0.25">
      <c r="A28" s="6" t="s">
        <v>30</v>
      </c>
      <c r="B28" s="7">
        <v>1502100</v>
      </c>
      <c r="C28" s="7">
        <v>802100</v>
      </c>
      <c r="D28" s="7">
        <v>102552.93000000001</v>
      </c>
      <c r="E28" s="7">
        <v>432428.87</v>
      </c>
      <c r="F28" s="7">
        <v>49995</v>
      </c>
      <c r="G28" s="7">
        <f t="shared" ref="G28" si="11">SUM(E28:F28)</f>
        <v>482423.87</v>
      </c>
      <c r="H28" s="7">
        <f t="shared" ref="H28:H29" si="12">C28-G28</f>
        <v>319676.13</v>
      </c>
      <c r="I28" s="33">
        <f t="shared" ref="I28:I29" si="13">IF(C28=0,"NA",H28/C28)</f>
        <v>0.39854897144994389</v>
      </c>
      <c r="K28" s="1"/>
      <c r="L28" s="127"/>
      <c r="M28" s="127"/>
      <c r="N28" s="127"/>
      <c r="O28" s="127"/>
      <c r="P28" s="127"/>
      <c r="Q28" s="128"/>
      <c r="R28" s="128"/>
      <c r="S28" s="128"/>
      <c r="T28" s="128"/>
      <c r="U28" s="128"/>
      <c r="V28" s="128"/>
    </row>
    <row r="29" spans="1:22" s="5" customFormat="1" x14ac:dyDescent="0.2">
      <c r="A29" s="6" t="s">
        <v>25</v>
      </c>
      <c r="B29" s="7">
        <v>26854843</v>
      </c>
      <c r="C29" s="7">
        <v>48354843</v>
      </c>
      <c r="D29" s="7">
        <v>0</v>
      </c>
      <c r="E29" s="7">
        <v>42500000</v>
      </c>
      <c r="F29" s="7">
        <v>0</v>
      </c>
      <c r="G29" s="7">
        <f t="shared" ref="G29" si="14">SUM(E29:F29)</f>
        <v>42500000</v>
      </c>
      <c r="H29" s="7">
        <f t="shared" si="12"/>
        <v>5854843</v>
      </c>
      <c r="I29" s="33">
        <f t="shared" si="13"/>
        <v>0.12108079846314464</v>
      </c>
    </row>
    <row r="30" spans="1:22" s="5" customFormat="1" x14ac:dyDescent="0.25">
      <c r="A30" s="6" t="s">
        <v>24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f t="shared" si="0"/>
        <v>0</v>
      </c>
      <c r="H30" s="7">
        <f t="shared" si="7"/>
        <v>0</v>
      </c>
      <c r="I30" s="33" t="str">
        <f t="shared" si="2"/>
        <v>NA</v>
      </c>
      <c r="K30" s="1"/>
      <c r="L30" s="1"/>
      <c r="M30" s="1"/>
      <c r="N30" s="1"/>
      <c r="O30" s="127"/>
      <c r="P30" s="1"/>
    </row>
    <row r="31" spans="1:22" s="5" customFormat="1" ht="24.95" customHeight="1" x14ac:dyDescent="0.25">
      <c r="A31" s="10" t="s">
        <v>26</v>
      </c>
      <c r="B31" s="11">
        <f t="shared" ref="B31:H31" si="15">SUM(B14:B30)</f>
        <v>1603112258.1499901</v>
      </c>
      <c r="C31" s="11">
        <f t="shared" si="15"/>
        <v>1656341388.1199901</v>
      </c>
      <c r="D31" s="11">
        <f t="shared" si="15"/>
        <v>137637435.97999972</v>
      </c>
      <c r="E31" s="11">
        <f t="shared" si="15"/>
        <v>722596279.20000041</v>
      </c>
      <c r="F31" s="11">
        <f t="shared" si="15"/>
        <v>56534535.93</v>
      </c>
      <c r="G31" s="11">
        <f t="shared" si="15"/>
        <v>779130815.13000071</v>
      </c>
      <c r="H31" s="11">
        <f t="shared" si="15"/>
        <v>877210572.98998952</v>
      </c>
      <c r="I31" s="34">
        <f>IF(C31=0,"NA",H31/C31)</f>
        <v>0.52960734983846325</v>
      </c>
      <c r="K31" s="1"/>
      <c r="L31" s="127"/>
      <c r="M31" s="127"/>
      <c r="N31" s="127"/>
      <c r="O31" s="127"/>
      <c r="P31" s="127"/>
      <c r="Q31" s="1"/>
      <c r="R31" s="1"/>
    </row>
    <row r="32" spans="1:22" s="5" customFormat="1" ht="24.95" customHeight="1" x14ac:dyDescent="0.25">
      <c r="A32" s="12"/>
      <c r="B32" s="13"/>
      <c r="C32" s="13"/>
      <c r="D32" s="13"/>
      <c r="E32" s="13"/>
      <c r="F32" s="13"/>
      <c r="G32" s="13"/>
      <c r="H32" s="13"/>
      <c r="I32" s="15"/>
      <c r="K32" s="1"/>
      <c r="L32" s="127"/>
      <c r="M32" s="127"/>
      <c r="N32" s="127"/>
      <c r="O32" s="127"/>
      <c r="P32" s="127"/>
      <c r="Q32" s="1"/>
      <c r="R32" s="1"/>
      <c r="S32" s="1"/>
      <c r="T32" s="1"/>
    </row>
    <row r="33" spans="1:20" s="5" customFormat="1" x14ac:dyDescent="0.25">
      <c r="A33" s="6" t="s">
        <v>27</v>
      </c>
      <c r="B33" s="7">
        <f>B13-B31</f>
        <v>-58008704.149990082</v>
      </c>
      <c r="C33" s="7">
        <f>C13-C31</f>
        <v>-103665275.11999011</v>
      </c>
      <c r="D33" s="7">
        <f>D13-D31</f>
        <v>-24021405.789999723</v>
      </c>
      <c r="E33" s="7">
        <f>E13-E31</f>
        <v>400820544.40999949</v>
      </c>
      <c r="F33" s="7"/>
      <c r="G33" s="7">
        <f>G13-G31</f>
        <v>344286008.47999918</v>
      </c>
      <c r="H33" s="7"/>
      <c r="I33" s="16"/>
      <c r="K33" s="1"/>
      <c r="L33" s="127"/>
      <c r="M33" s="127"/>
      <c r="N33" s="127"/>
      <c r="O33" s="127"/>
      <c r="P33" s="127"/>
      <c r="Q33" s="1"/>
      <c r="R33" s="1"/>
      <c r="S33" s="1"/>
      <c r="T33" s="1"/>
    </row>
    <row r="34" spans="1:20" s="5" customFormat="1" x14ac:dyDescent="0.25">
      <c r="A34" s="8"/>
      <c r="B34" s="9"/>
      <c r="C34" s="9"/>
      <c r="D34" s="9"/>
      <c r="E34" s="9"/>
      <c r="F34" s="9"/>
      <c r="G34" s="9"/>
      <c r="H34" s="9"/>
      <c r="I34" s="17"/>
      <c r="K34" s="1"/>
      <c r="L34" s="127"/>
      <c r="M34" s="127"/>
      <c r="N34" s="127"/>
      <c r="O34" s="127"/>
      <c r="P34" s="127"/>
      <c r="Q34" s="1"/>
      <c r="R34" s="1"/>
      <c r="S34" s="1"/>
      <c r="T34" s="1"/>
    </row>
    <row r="35" spans="1:20" s="5" customFormat="1" x14ac:dyDescent="0.25">
      <c r="A35" s="134" t="s">
        <v>67</v>
      </c>
      <c r="B35" s="20"/>
      <c r="C35" s="20"/>
      <c r="D35" s="20"/>
      <c r="E35" s="20">
        <v>490773194.26999998</v>
      </c>
      <c r="F35" s="20"/>
      <c r="G35" s="20">
        <f>E35</f>
        <v>490773194.26999998</v>
      </c>
      <c r="H35" s="20"/>
      <c r="I35" s="21"/>
      <c r="K35" s="1"/>
      <c r="L35" s="127"/>
      <c r="M35" s="127"/>
      <c r="N35" s="127"/>
      <c r="O35" s="127"/>
      <c r="P35" s="127"/>
      <c r="Q35" s="1"/>
      <c r="R35" s="1"/>
      <c r="S35" s="1"/>
      <c r="T35" s="1"/>
    </row>
    <row r="36" spans="1:20" s="5" customFormat="1" ht="24.75" customHeight="1" x14ac:dyDescent="0.25">
      <c r="A36" s="134" t="s">
        <v>68</v>
      </c>
      <c r="B36" s="20"/>
      <c r="C36" s="20"/>
      <c r="D36" s="20"/>
      <c r="E36" s="20">
        <v>45000000</v>
      </c>
      <c r="F36" s="20"/>
      <c r="G36" s="20">
        <f>E36</f>
        <v>45000000</v>
      </c>
      <c r="H36" s="20"/>
      <c r="I36" s="21"/>
      <c r="K36" s="1"/>
      <c r="L36" s="127"/>
      <c r="M36" s="127"/>
      <c r="N36" s="127"/>
      <c r="O36" s="127"/>
      <c r="P36" s="127"/>
      <c r="Q36" s="1"/>
      <c r="R36" s="1"/>
      <c r="S36" s="1"/>
      <c r="T36" s="1"/>
    </row>
    <row r="37" spans="1:20" s="5" customFormat="1" ht="27.75" customHeight="1" x14ac:dyDescent="0.25">
      <c r="A37" s="18" t="s">
        <v>69</v>
      </c>
      <c r="B37" s="20"/>
      <c r="C37" s="20"/>
      <c r="D37" s="20"/>
      <c r="E37" s="20">
        <f>E35-E36</f>
        <v>445773194.26999998</v>
      </c>
      <c r="F37" s="20"/>
      <c r="G37" s="20">
        <f>E37</f>
        <v>445773194.26999998</v>
      </c>
      <c r="H37" s="20"/>
      <c r="I37" s="21"/>
      <c r="K37" s="1"/>
      <c r="L37" s="127"/>
      <c r="M37" s="127"/>
      <c r="N37" s="127"/>
      <c r="O37" s="127"/>
      <c r="P37" s="127"/>
      <c r="Q37" s="1"/>
      <c r="R37" s="1"/>
      <c r="S37" s="1"/>
      <c r="T37" s="1"/>
    </row>
    <row r="38" spans="1:20" ht="15.75" thickBot="1" x14ac:dyDescent="0.3">
      <c r="A38" s="22" t="s">
        <v>28</v>
      </c>
      <c r="B38" s="24"/>
      <c r="C38" s="24"/>
      <c r="D38" s="24"/>
      <c r="E38" s="24">
        <f>+E37+E33</f>
        <v>846593738.67999947</v>
      </c>
      <c r="F38" s="24"/>
      <c r="G38" s="24">
        <f>+G37+G33</f>
        <v>790059202.74999917</v>
      </c>
      <c r="H38" s="24"/>
      <c r="I38" s="25"/>
      <c r="J38" s="5"/>
    </row>
    <row r="39" spans="1:20" x14ac:dyDescent="0.25">
      <c r="A39" s="5"/>
      <c r="B39" s="31"/>
      <c r="C39" s="31"/>
      <c r="D39" s="31"/>
      <c r="E39" s="31"/>
      <c r="F39" s="31"/>
      <c r="G39" s="31"/>
      <c r="H39" s="31"/>
      <c r="I39" s="5"/>
      <c r="J39" s="5"/>
    </row>
    <row r="40" spans="1:20" x14ac:dyDescent="0.25">
      <c r="B40" s="127"/>
      <c r="C40" s="127"/>
      <c r="D40" s="127"/>
      <c r="E40" s="127"/>
      <c r="F40" s="127"/>
      <c r="G40" s="127"/>
      <c r="H40" s="127"/>
    </row>
    <row r="41" spans="1:20" x14ac:dyDescent="0.25">
      <c r="B41" s="127"/>
      <c r="C41" s="127"/>
      <c r="D41" s="127"/>
      <c r="E41" s="127"/>
      <c r="F41" s="127"/>
      <c r="G41" s="127"/>
      <c r="H41" s="127"/>
      <c r="I41" s="127"/>
      <c r="J41" s="127"/>
    </row>
    <row r="42" spans="1:20" x14ac:dyDescent="0.25">
      <c r="B42" s="127"/>
      <c r="C42" s="127"/>
      <c r="D42" s="1"/>
      <c r="E42" s="1"/>
      <c r="F42" s="1"/>
      <c r="G42" s="1"/>
      <c r="H42" s="1"/>
    </row>
    <row r="43" spans="1:20" x14ac:dyDescent="0.25">
      <c r="B43" s="127"/>
      <c r="C43" s="127"/>
      <c r="D43" s="1"/>
      <c r="E43" s="1"/>
      <c r="F43" s="1"/>
      <c r="G43" s="1"/>
      <c r="H43" s="1"/>
    </row>
    <row r="44" spans="1:20" x14ac:dyDescent="0.25">
      <c r="B44" s="127"/>
      <c r="C44" s="127"/>
      <c r="D44" s="1"/>
      <c r="E44" s="1"/>
      <c r="F44" s="1"/>
      <c r="G44" s="1"/>
      <c r="H44" s="1"/>
    </row>
    <row r="45" spans="1:20" x14ac:dyDescent="0.25">
      <c r="B45" s="127"/>
      <c r="C45" s="127"/>
      <c r="D45" s="1"/>
      <c r="E45" s="1"/>
      <c r="F45" s="1"/>
      <c r="G45" s="1"/>
      <c r="H45" s="1"/>
    </row>
    <row r="46" spans="1:20" x14ac:dyDescent="0.25">
      <c r="B46" s="127"/>
      <c r="C46" s="127"/>
      <c r="D46" s="127"/>
      <c r="E46" s="127"/>
      <c r="F46" s="127"/>
      <c r="G46" s="127"/>
      <c r="H46" s="127"/>
      <c r="I46" s="127"/>
    </row>
    <row r="47" spans="1:20" x14ac:dyDescent="0.25">
      <c r="B47" s="127"/>
      <c r="C47" s="127"/>
      <c r="D47" s="127"/>
      <c r="E47" s="127"/>
      <c r="F47" s="127"/>
      <c r="G47" s="127"/>
      <c r="H47" s="127"/>
      <c r="I47" s="127"/>
    </row>
    <row r="48" spans="1:20" x14ac:dyDescent="0.25">
      <c r="B48" s="127"/>
      <c r="C48" s="127"/>
      <c r="D48" s="127"/>
      <c r="E48" s="127"/>
      <c r="F48" s="127"/>
      <c r="G48" s="127"/>
      <c r="H48" s="127"/>
      <c r="I48" s="127"/>
    </row>
    <row r="49" spans="2:10" x14ac:dyDescent="0.25">
      <c r="B49" s="127"/>
      <c r="C49" s="127"/>
      <c r="D49" s="127"/>
      <c r="E49" s="127"/>
      <c r="F49" s="1"/>
      <c r="G49" s="1"/>
      <c r="H49" s="1"/>
    </row>
    <row r="50" spans="2:10" x14ac:dyDescent="0.25">
      <c r="B50" s="127"/>
      <c r="C50" s="127"/>
      <c r="D50" s="127"/>
      <c r="E50" s="127"/>
      <c r="F50" s="1"/>
      <c r="G50" s="1"/>
      <c r="H50" s="1"/>
    </row>
    <row r="51" spans="2:10" x14ac:dyDescent="0.25">
      <c r="B51" s="127"/>
      <c r="C51" s="127"/>
      <c r="D51" s="127"/>
      <c r="E51" s="127"/>
      <c r="F51" s="1"/>
      <c r="G51" s="1"/>
      <c r="H51" s="127"/>
      <c r="I51" s="127"/>
      <c r="J51" s="127"/>
    </row>
    <row r="52" spans="2:10" x14ac:dyDescent="0.25">
      <c r="B52" s="127"/>
      <c r="C52" s="127"/>
      <c r="D52" s="127"/>
      <c r="E52" s="127"/>
      <c r="F52" s="127"/>
      <c r="G52" s="127"/>
      <c r="H52" s="1"/>
      <c r="I52" s="127"/>
      <c r="J52" s="127"/>
    </row>
    <row r="53" spans="2:10" x14ac:dyDescent="0.25">
      <c r="B53" s="127"/>
      <c r="C53" s="127"/>
      <c r="D53" s="127"/>
      <c r="E53" s="127"/>
      <c r="F53" s="127"/>
      <c r="G53" s="127"/>
      <c r="H53" s="1"/>
    </row>
    <row r="54" spans="2:10" x14ac:dyDescent="0.25">
      <c r="B54" s="127"/>
      <c r="C54" s="127"/>
      <c r="D54" s="127"/>
      <c r="E54" s="127"/>
      <c r="F54" s="127"/>
      <c r="G54" s="127"/>
      <c r="H54" s="127"/>
      <c r="I54" s="127"/>
      <c r="J54" s="127"/>
    </row>
    <row r="55" spans="2:10" x14ac:dyDescent="0.25">
      <c r="B55" s="127"/>
      <c r="C55" s="127"/>
      <c r="D55" s="127"/>
      <c r="E55" s="127"/>
      <c r="F55" s="127"/>
      <c r="G55" s="127"/>
      <c r="H55" s="127"/>
      <c r="I55" s="127"/>
      <c r="J55" s="127"/>
    </row>
    <row r="56" spans="2:10" x14ac:dyDescent="0.25">
      <c r="B56" s="127"/>
      <c r="C56" s="127"/>
      <c r="D56" s="127"/>
      <c r="E56" s="127"/>
      <c r="F56" s="127"/>
      <c r="G56" s="127"/>
      <c r="H56" s="127"/>
      <c r="I56" s="127"/>
      <c r="J56" s="127"/>
    </row>
    <row r="57" spans="2:10" x14ac:dyDescent="0.25">
      <c r="B57" s="127"/>
      <c r="C57" s="127"/>
      <c r="D57" s="127"/>
      <c r="E57" s="127"/>
      <c r="F57" s="127"/>
      <c r="G57" s="127"/>
      <c r="H57" s="127"/>
      <c r="I57" s="127"/>
      <c r="J57" s="127"/>
    </row>
    <row r="58" spans="2:10" x14ac:dyDescent="0.25">
      <c r="B58" s="127"/>
      <c r="C58" s="127"/>
      <c r="D58" s="127"/>
      <c r="E58" s="127"/>
      <c r="F58" s="127"/>
      <c r="G58" s="127"/>
      <c r="H58" s="127"/>
      <c r="I58" s="127"/>
      <c r="J58" s="127"/>
    </row>
    <row r="59" spans="2:10" x14ac:dyDescent="0.25">
      <c r="B59" s="127"/>
      <c r="C59" s="127"/>
      <c r="D59" s="127"/>
      <c r="E59" s="127"/>
      <c r="F59" s="127"/>
      <c r="G59" s="127"/>
      <c r="H59" s="127"/>
      <c r="I59" s="127"/>
      <c r="J59" s="127"/>
    </row>
    <row r="60" spans="2:10" x14ac:dyDescent="0.25">
      <c r="B60" s="127"/>
      <c r="C60" s="127"/>
      <c r="D60" s="127"/>
      <c r="E60" s="127"/>
      <c r="F60" s="127"/>
      <c r="G60" s="127"/>
      <c r="H60" s="127"/>
      <c r="I60" s="127"/>
      <c r="J60" s="127"/>
    </row>
    <row r="61" spans="2:10" x14ac:dyDescent="0.25">
      <c r="B61" s="127"/>
      <c r="C61" s="127"/>
      <c r="D61" s="127"/>
      <c r="E61" s="127"/>
      <c r="F61" s="127"/>
      <c r="G61" s="127"/>
      <c r="H61" s="127"/>
      <c r="I61" s="127"/>
      <c r="J61" s="127"/>
    </row>
    <row r="62" spans="2:10" x14ac:dyDescent="0.25">
      <c r="B62" s="127"/>
      <c r="C62" s="127"/>
      <c r="D62" s="127"/>
      <c r="E62" s="127"/>
      <c r="F62" s="127"/>
      <c r="G62" s="127"/>
      <c r="H62" s="127"/>
      <c r="I62" s="127"/>
      <c r="J62" s="127"/>
    </row>
    <row r="63" spans="2:10" x14ac:dyDescent="0.25">
      <c r="B63" s="127"/>
      <c r="C63" s="127"/>
      <c r="D63" s="127"/>
      <c r="E63" s="127"/>
      <c r="F63" s="127"/>
      <c r="G63" s="127"/>
      <c r="H63" s="127"/>
      <c r="I63" s="127"/>
      <c r="J63" s="127"/>
    </row>
    <row r="64" spans="2:10" x14ac:dyDescent="0.25">
      <c r="B64" s="127"/>
      <c r="C64" s="127"/>
      <c r="D64" s="127"/>
      <c r="E64" s="127"/>
      <c r="F64" s="127"/>
      <c r="G64" s="127"/>
      <c r="H64" s="127"/>
      <c r="I64" s="127"/>
      <c r="J64" s="127"/>
    </row>
    <row r="65" spans="2:10" x14ac:dyDescent="0.25">
      <c r="B65" s="127"/>
      <c r="C65" s="127"/>
      <c r="D65" s="127"/>
      <c r="E65" s="127"/>
      <c r="F65" s="127"/>
      <c r="G65" s="127"/>
      <c r="H65" s="127"/>
      <c r="I65" s="127"/>
      <c r="J65" s="127"/>
    </row>
    <row r="66" spans="2:10" x14ac:dyDescent="0.25">
      <c r="B66" s="127"/>
      <c r="C66" s="127"/>
      <c r="D66" s="127"/>
      <c r="E66" s="127"/>
      <c r="F66" s="127"/>
      <c r="G66" s="127"/>
      <c r="H66" s="127"/>
      <c r="I66" s="127"/>
      <c r="J66" s="127"/>
    </row>
    <row r="67" spans="2:10" x14ac:dyDescent="0.25">
      <c r="B67" s="127"/>
      <c r="C67" s="127"/>
      <c r="D67" s="127"/>
      <c r="E67" s="127"/>
      <c r="F67" s="127"/>
      <c r="G67" s="127"/>
      <c r="H67" s="127"/>
      <c r="I67" s="127"/>
      <c r="J67" s="127"/>
    </row>
    <row r="68" spans="2:10" x14ac:dyDescent="0.25">
      <c r="B68" s="127"/>
      <c r="C68" s="127"/>
      <c r="D68" s="127"/>
      <c r="E68" s="127"/>
      <c r="F68" s="127"/>
      <c r="G68" s="127"/>
      <c r="H68" s="127"/>
      <c r="I68" s="127"/>
      <c r="J68" s="127"/>
    </row>
    <row r="69" spans="2:10" x14ac:dyDescent="0.25">
      <c r="B69" s="127"/>
      <c r="C69" s="127"/>
      <c r="D69" s="127"/>
      <c r="E69" s="127"/>
      <c r="F69" s="127"/>
      <c r="G69" s="127"/>
      <c r="H69" s="127"/>
      <c r="I69" s="127"/>
      <c r="J69" s="127"/>
    </row>
    <row r="70" spans="2:10" x14ac:dyDescent="0.25">
      <c r="B70" s="127"/>
      <c r="C70" s="127"/>
      <c r="D70" s="127"/>
      <c r="E70" s="127"/>
      <c r="F70" s="127"/>
      <c r="G70" s="127"/>
      <c r="H70" s="127"/>
      <c r="I70" s="127"/>
      <c r="J70" s="127"/>
    </row>
    <row r="71" spans="2:10" x14ac:dyDescent="0.25">
      <c r="B71" s="127"/>
      <c r="C71" s="127"/>
      <c r="D71" s="127"/>
      <c r="E71" s="127"/>
      <c r="F71" s="127"/>
      <c r="G71" s="127"/>
      <c r="H71" s="127"/>
      <c r="I71" s="127"/>
      <c r="J71" s="127"/>
    </row>
    <row r="72" spans="2:10" x14ac:dyDescent="0.25">
      <c r="B72" s="127"/>
      <c r="C72" s="127"/>
      <c r="D72" s="127"/>
      <c r="E72" s="127"/>
      <c r="F72" s="127"/>
      <c r="G72" s="127"/>
      <c r="H72" s="127"/>
      <c r="I72" s="127"/>
      <c r="J72" s="127"/>
    </row>
    <row r="73" spans="2:10" x14ac:dyDescent="0.25">
      <c r="B73" s="127"/>
      <c r="C73" s="127"/>
      <c r="D73" s="127"/>
      <c r="E73" s="127"/>
      <c r="F73" s="127"/>
      <c r="G73" s="127"/>
      <c r="H73" s="127"/>
      <c r="I73" s="127"/>
      <c r="J73" s="127"/>
    </row>
    <row r="74" spans="2:10" x14ac:dyDescent="0.25">
      <c r="B74" s="127"/>
      <c r="C74" s="127"/>
      <c r="D74" s="127"/>
      <c r="E74" s="127"/>
      <c r="F74" s="127"/>
      <c r="G74" s="127"/>
      <c r="H74" s="127"/>
      <c r="I74" s="127"/>
      <c r="J74" s="127"/>
    </row>
    <row r="75" spans="2:10" x14ac:dyDescent="0.25">
      <c r="B75" s="127"/>
      <c r="C75" s="127"/>
      <c r="D75" s="127"/>
      <c r="E75" s="127"/>
      <c r="F75" s="127"/>
      <c r="G75" s="127"/>
      <c r="H75" s="127"/>
      <c r="I75" s="127"/>
      <c r="J75" s="127"/>
    </row>
    <row r="76" spans="2:10" x14ac:dyDescent="0.25">
      <c r="B76" s="127"/>
    </row>
    <row r="77" spans="2:10" x14ac:dyDescent="0.25">
      <c r="B77" s="127"/>
    </row>
    <row r="78" spans="2:10" x14ac:dyDescent="0.25">
      <c r="B78" s="127"/>
    </row>
    <row r="79" spans="2:10" x14ac:dyDescent="0.25">
      <c r="B79" s="127"/>
    </row>
    <row r="80" spans="2:10" x14ac:dyDescent="0.25">
      <c r="B80" s="127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Z99"/>
  <sheetViews>
    <sheetView topLeftCell="H52" workbookViewId="0">
      <selection activeCell="C8" sqref="C8:C12"/>
    </sheetView>
  </sheetViews>
  <sheetFormatPr defaultRowHeight="12.75" x14ac:dyDescent="0.2"/>
  <cols>
    <col min="1" max="1" width="32.42578125" style="47" bestFit="1" customWidth="1"/>
    <col min="2" max="2" width="15.7109375" style="47" customWidth="1"/>
    <col min="3" max="3" width="18.7109375" style="47" customWidth="1"/>
    <col min="4" max="4" width="45.5703125" style="47" bestFit="1" customWidth="1"/>
    <col min="5" max="5" width="16.140625" style="47" customWidth="1"/>
    <col min="6" max="6" width="12.5703125" style="46" customWidth="1"/>
    <col min="7" max="7" width="13.42578125" style="46" bestFit="1" customWidth="1"/>
    <col min="8" max="8" width="14.42578125" style="46" bestFit="1" customWidth="1"/>
    <col min="9" max="9" width="16" style="46" bestFit="1" customWidth="1"/>
    <col min="10" max="17" width="13.42578125" style="46" bestFit="1" customWidth="1"/>
    <col min="18" max="18" width="69.140625" style="47" customWidth="1"/>
    <col min="19" max="20" width="17" style="89" customWidth="1"/>
    <col min="21" max="21" width="17" style="89" bestFit="1" customWidth="1"/>
    <col min="22" max="16384" width="9.140625" style="47"/>
  </cols>
  <sheetData>
    <row r="1" spans="1:21" ht="21" thickBot="1" x14ac:dyDescent="0.25">
      <c r="A1" s="154" t="s">
        <v>75</v>
      </c>
      <c r="B1" s="155"/>
      <c r="C1" s="155"/>
      <c r="D1" s="155"/>
      <c r="E1" s="155"/>
      <c r="F1" s="155"/>
      <c r="G1" s="156"/>
      <c r="H1" s="45"/>
    </row>
    <row r="2" spans="1:21" x14ac:dyDescent="0.2">
      <c r="A2" s="48"/>
      <c r="B2" s="45"/>
      <c r="C2" s="48"/>
      <c r="D2" s="48"/>
      <c r="E2" s="48"/>
      <c r="F2" s="45"/>
      <c r="G2" s="45"/>
    </row>
    <row r="3" spans="1:21" x14ac:dyDescent="0.2">
      <c r="A3" s="157" t="s">
        <v>35</v>
      </c>
      <c r="B3" s="158"/>
      <c r="C3" s="158"/>
      <c r="D3" s="158"/>
      <c r="E3" s="158"/>
      <c r="F3" s="158"/>
      <c r="G3" s="158"/>
    </row>
    <row r="4" spans="1:21" ht="13.5" thickBot="1" x14ac:dyDescent="0.25">
      <c r="A4" s="48"/>
      <c r="B4" s="45"/>
      <c r="C4" s="48"/>
      <c r="D4" s="48"/>
      <c r="E4" s="48"/>
      <c r="F4" s="45"/>
      <c r="G4" s="45"/>
    </row>
    <row r="5" spans="1:21" ht="26.25" thickBot="1" x14ac:dyDescent="0.25">
      <c r="B5" s="49" t="s">
        <v>36</v>
      </c>
      <c r="C5" s="50" t="s">
        <v>37</v>
      </c>
      <c r="D5" s="48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21" ht="13.5" thickBot="1" x14ac:dyDescent="0.25">
      <c r="A6" s="51" t="s">
        <v>38</v>
      </c>
      <c r="B6" s="52">
        <v>1656341388.1199901</v>
      </c>
      <c r="C6" s="53">
        <f>SUM(F9:Q24)</f>
        <v>722596279.20000041</v>
      </c>
      <c r="D6" s="48"/>
      <c r="E6" s="48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</row>
    <row r="7" spans="1:21" ht="26.25" thickBot="1" x14ac:dyDescent="0.25">
      <c r="B7" s="45"/>
      <c r="C7" s="54"/>
      <c r="D7" s="55"/>
      <c r="E7" s="56" t="s">
        <v>39</v>
      </c>
      <c r="F7" s="57" t="s">
        <v>40</v>
      </c>
      <c r="G7" s="58" t="s">
        <v>41</v>
      </c>
      <c r="H7" s="58" t="s">
        <v>42</v>
      </c>
      <c r="I7" s="58" t="s">
        <v>43</v>
      </c>
      <c r="J7" s="58" t="s">
        <v>44</v>
      </c>
      <c r="K7" s="58" t="s">
        <v>45</v>
      </c>
      <c r="L7" s="58" t="s">
        <v>46</v>
      </c>
      <c r="M7" s="58" t="s">
        <v>47</v>
      </c>
      <c r="N7" s="58" t="s">
        <v>48</v>
      </c>
      <c r="O7" s="58" t="s">
        <v>49</v>
      </c>
      <c r="P7" s="58" t="s">
        <v>50</v>
      </c>
      <c r="Q7" s="58" t="s">
        <v>51</v>
      </c>
    </row>
    <row r="8" spans="1:21" x14ac:dyDescent="0.2">
      <c r="B8" s="46"/>
      <c r="C8" s="142"/>
      <c r="D8" s="48"/>
      <c r="E8" s="59"/>
      <c r="P8" s="47"/>
      <c r="Q8" s="47"/>
    </row>
    <row r="9" spans="1:21" x14ac:dyDescent="0.2">
      <c r="B9" s="46"/>
      <c r="D9" s="48" t="s">
        <v>13</v>
      </c>
      <c r="E9" s="60">
        <f>SUM(F9:Q9)</f>
        <v>380665392.88000041</v>
      </c>
      <c r="F9" s="46">
        <f>8832800.71+605799.549999986</f>
        <v>9438600.2599999867</v>
      </c>
      <c r="G9" s="46">
        <f>13021980.7+33066.2200004458</f>
        <v>13055046.920000445</v>
      </c>
      <c r="H9" s="46">
        <f>87306973.18+8671379.37000018</f>
        <v>95978352.550000191</v>
      </c>
      <c r="I9" s="46">
        <f>83947775.8500003 + 11210961.6599983</f>
        <v>95158737.509998605</v>
      </c>
      <c r="J9" s="46">
        <f>72620317.0999998+6511419.89000165</f>
        <v>79131736.990001455</v>
      </c>
      <c r="K9" s="46">
        <v>87902918.649999753</v>
      </c>
      <c r="P9" s="47"/>
      <c r="Q9" s="89"/>
      <c r="R9" s="47" t="s">
        <v>13</v>
      </c>
      <c r="S9" s="89">
        <v>380665392.88000047</v>
      </c>
      <c r="T9" s="89">
        <f>S9-E9</f>
        <v>0</v>
      </c>
      <c r="U9" s="89">
        <v>6511419.8900016546</v>
      </c>
    </row>
    <row r="10" spans="1:21" x14ac:dyDescent="0.2">
      <c r="B10" s="46"/>
      <c r="D10" s="48" t="s">
        <v>14</v>
      </c>
      <c r="E10" s="60">
        <f t="shared" ref="E10:E25" si="0">SUM(F10:Q10)</f>
        <v>38892446.909999952</v>
      </c>
      <c r="F10" s="46">
        <f>1283427.24+3111.97999999811</f>
        <v>1286539.2199999981</v>
      </c>
      <c r="G10" s="46">
        <f>2302644.44+6954.61000000312</f>
        <v>2309599.0500000031</v>
      </c>
      <c r="H10" s="46">
        <f>8779763.86999999+860419.159999955</f>
        <v>9640183.0299999453</v>
      </c>
      <c r="I10" s="46">
        <f>8566950.91999999 + 8405.65000014007</f>
        <v>8575356.5700001307</v>
      </c>
      <c r="J10" s="46">
        <f>8053331.33000001+162459.84999986</f>
        <v>8215791.1799998702</v>
      </c>
      <c r="K10" s="46">
        <v>8864977.8600000031</v>
      </c>
      <c r="P10" s="47"/>
      <c r="Q10" s="89"/>
      <c r="R10" s="47" t="s">
        <v>14</v>
      </c>
      <c r="S10" s="89">
        <v>38892446.909999952</v>
      </c>
      <c r="T10" s="89">
        <f t="shared" ref="T10:T24" si="1">S10-E10</f>
        <v>0</v>
      </c>
      <c r="U10" s="89">
        <v>162459.84999985999</v>
      </c>
    </row>
    <row r="11" spans="1:21" x14ac:dyDescent="0.2">
      <c r="B11" s="46"/>
      <c r="D11" s="48" t="s">
        <v>15</v>
      </c>
      <c r="E11" s="60">
        <f t="shared" si="0"/>
        <v>8307897.0300000003</v>
      </c>
      <c r="F11" s="46">
        <v>1000347.9699999999</v>
      </c>
      <c r="G11" s="46">
        <f>1711023.41+10675.5099999997</f>
        <v>1721698.9199999997</v>
      </c>
      <c r="H11" s="46">
        <f>1341708.75+139164.970000003</f>
        <v>1480873.720000003</v>
      </c>
      <c r="I11" s="46">
        <f>1467314.59 + 8939.08000000193</f>
        <v>1476253.670000002</v>
      </c>
      <c r="J11" s="46">
        <f>1261965.98-38096.4000000031</f>
        <v>1223869.5799999968</v>
      </c>
      <c r="K11" s="46">
        <v>1404853.1699999992</v>
      </c>
      <c r="P11" s="47"/>
      <c r="Q11" s="89"/>
      <c r="R11" s="47" t="s">
        <v>15</v>
      </c>
      <c r="S11" s="89">
        <v>8307897.0299999993</v>
      </c>
      <c r="T11" s="89">
        <f t="shared" si="1"/>
        <v>0</v>
      </c>
      <c r="U11" s="89">
        <v>-38096.400000003101</v>
      </c>
    </row>
    <row r="12" spans="1:21" x14ac:dyDescent="0.2">
      <c r="B12" s="46"/>
      <c r="D12" s="48" t="s">
        <v>16</v>
      </c>
      <c r="E12" s="60">
        <f t="shared" si="0"/>
        <v>126301.32999999999</v>
      </c>
      <c r="F12" s="46">
        <v>0</v>
      </c>
      <c r="G12" s="46">
        <v>28253.02</v>
      </c>
      <c r="H12" s="46">
        <v>73719.459999999977</v>
      </c>
      <c r="I12" s="46">
        <v>4048.19</v>
      </c>
      <c r="J12" s="46">
        <v>11289.16</v>
      </c>
      <c r="K12" s="46">
        <v>8991.5</v>
      </c>
      <c r="P12" s="47"/>
      <c r="Q12" s="89"/>
      <c r="R12" s="47" t="s">
        <v>16</v>
      </c>
      <c r="S12" s="89">
        <v>126301.32999999997</v>
      </c>
      <c r="T12" s="89">
        <f t="shared" si="1"/>
        <v>0</v>
      </c>
      <c r="U12" s="89">
        <v>0</v>
      </c>
    </row>
    <row r="13" spans="1:21" x14ac:dyDescent="0.2">
      <c r="B13" s="46"/>
      <c r="D13" s="48" t="s">
        <v>17</v>
      </c>
      <c r="E13" s="60">
        <f t="shared" si="0"/>
        <v>8796416.7699999996</v>
      </c>
      <c r="F13" s="46">
        <f>55256.13+653.070000000065</f>
        <v>55909.200000000063</v>
      </c>
      <c r="G13" s="46">
        <f>509047+1032.96999999741</f>
        <v>510079.96999999741</v>
      </c>
      <c r="H13" s="46">
        <f>2318810.75+21.620000006631</f>
        <v>2318832.3700000066</v>
      </c>
      <c r="I13" s="46">
        <f>2527780.92 + 30575.8400000007</f>
        <v>2558356.7600000007</v>
      </c>
      <c r="J13" s="46">
        <f>1862213.87-403560.450000003</f>
        <v>1458653.4199999971</v>
      </c>
      <c r="K13" s="46">
        <v>1894585.0499999982</v>
      </c>
      <c r="P13" s="47"/>
      <c r="Q13" s="89"/>
      <c r="R13" s="47" t="s">
        <v>17</v>
      </c>
      <c r="S13" s="89">
        <v>8796416.7699999996</v>
      </c>
      <c r="T13" s="89">
        <f t="shared" si="1"/>
        <v>0</v>
      </c>
      <c r="U13" s="89">
        <v>-403560.45000000298</v>
      </c>
    </row>
    <row r="14" spans="1:21" x14ac:dyDescent="0.2">
      <c r="B14" s="46"/>
      <c r="D14" s="48" t="s">
        <v>18</v>
      </c>
      <c r="E14" s="60">
        <f t="shared" si="0"/>
        <v>36865021.090000018</v>
      </c>
      <c r="F14" s="46">
        <v>1704486.6800000006</v>
      </c>
      <c r="G14" s="46">
        <f>1730248.18 + 18247.030000016</f>
        <v>1748495.210000016</v>
      </c>
      <c r="H14" s="46">
        <f>24478885.21+17608.8299999944</f>
        <v>24496494.039999995</v>
      </c>
      <c r="I14" s="46">
        <f>2678146.53 + 20846.2499999888</f>
        <v>2698992.7799999886</v>
      </c>
      <c r="J14" s="46">
        <f>2702198.06+232875.420000017</f>
        <v>2935073.4800000172</v>
      </c>
      <c r="K14" s="46">
        <v>3281478.9</v>
      </c>
      <c r="P14" s="47"/>
      <c r="Q14" s="89"/>
      <c r="R14" s="47" t="s">
        <v>18</v>
      </c>
      <c r="S14" s="89">
        <v>36865021.090000018</v>
      </c>
      <c r="T14" s="89">
        <f t="shared" si="1"/>
        <v>0</v>
      </c>
      <c r="U14" s="89">
        <v>232875.42000001701</v>
      </c>
    </row>
    <row r="15" spans="1:21" x14ac:dyDescent="0.2">
      <c r="A15" s="61" t="s">
        <v>52</v>
      </c>
      <c r="B15" s="120">
        <f>B6-C6</f>
        <v>933745108.91998971</v>
      </c>
      <c r="C15" s="62">
        <f>B15/$B$6</f>
        <v>0.56373952593180421</v>
      </c>
      <c r="D15" s="48" t="s">
        <v>19</v>
      </c>
      <c r="E15" s="60">
        <f t="shared" si="0"/>
        <v>42446750.370000049</v>
      </c>
      <c r="F15" s="46">
        <f>3144697.83+598.250000014901</f>
        <v>3145296.080000015</v>
      </c>
      <c r="G15" s="46">
        <v>7269250.2399999909</v>
      </c>
      <c r="H15" s="46">
        <f>8870625.48+426819.029999971</f>
        <v>9297444.5099999718</v>
      </c>
      <c r="I15" s="46">
        <v>7746220.5399999972</v>
      </c>
      <c r="J15" s="46">
        <f>7314391.04-230227.529999927</f>
        <v>7084163.5100000734</v>
      </c>
      <c r="K15" s="46">
        <v>7904375.4899999993</v>
      </c>
      <c r="P15" s="47"/>
      <c r="Q15" s="89"/>
      <c r="R15" s="47" t="s">
        <v>19</v>
      </c>
      <c r="S15" s="89">
        <v>42446750.370000057</v>
      </c>
      <c r="T15" s="89">
        <f t="shared" si="1"/>
        <v>0</v>
      </c>
      <c r="U15" s="89">
        <v>-230227.52999992701</v>
      </c>
    </row>
    <row r="16" spans="1:21" x14ac:dyDescent="0.2">
      <c r="A16" s="61" t="s">
        <v>53</v>
      </c>
      <c r="B16" s="120">
        <f>C6</f>
        <v>722596279.20000041</v>
      </c>
      <c r="C16" s="62">
        <f>B16/$B$6</f>
        <v>0.43626047406819579</v>
      </c>
      <c r="D16" s="48" t="s">
        <v>20</v>
      </c>
      <c r="E16" s="60">
        <f t="shared" si="0"/>
        <v>10023098.039999995</v>
      </c>
      <c r="F16" s="46">
        <f>1007407.09+48067.7599999997</f>
        <v>1055474.8499999996</v>
      </c>
      <c r="G16" s="46">
        <f>1416812.52 + 9897.63999999873</f>
        <v>1426710.1599999988</v>
      </c>
      <c r="H16" s="46">
        <f>1685580.79+4732.01999999955</f>
        <v>1690312.8099999996</v>
      </c>
      <c r="I16" s="46">
        <f>1391325.32 + 632571.270000002</f>
        <v>2023896.5900000022</v>
      </c>
      <c r="J16" s="46">
        <f>1580161.24+477850.759999996</f>
        <v>2058011.999999996</v>
      </c>
      <c r="K16" s="46">
        <v>1768691.63</v>
      </c>
      <c r="P16" s="47"/>
      <c r="Q16" s="89"/>
      <c r="R16" s="47" t="s">
        <v>20</v>
      </c>
      <c r="S16" s="89">
        <v>10023098.039999997</v>
      </c>
      <c r="T16" s="89">
        <f t="shared" si="1"/>
        <v>0</v>
      </c>
      <c r="U16" s="89">
        <v>477850.75999999599</v>
      </c>
    </row>
    <row r="17" spans="1:21" x14ac:dyDescent="0.2">
      <c r="A17" s="48"/>
      <c r="B17" s="45"/>
      <c r="C17" s="48"/>
      <c r="D17" s="63" t="s">
        <v>54</v>
      </c>
      <c r="E17" s="60">
        <f t="shared" si="0"/>
        <v>92311098.859999999</v>
      </c>
      <c r="F17" s="46">
        <v>15019325.579999993</v>
      </c>
      <c r="G17" s="46">
        <f>17568073.75-1456414.23999995</f>
        <v>16111659.51000005</v>
      </c>
      <c r="H17" s="46">
        <f>17798065.85+102513.349999942</f>
        <v>17900579.199999943</v>
      </c>
      <c r="I17" s="46">
        <v>18101888.420000002</v>
      </c>
      <c r="J17" s="46">
        <f>14206751.22-2326782.34999996</f>
        <v>11879968.87000004</v>
      </c>
      <c r="K17" s="46">
        <v>13297677.279999988</v>
      </c>
      <c r="P17" s="47"/>
      <c r="Q17" s="89"/>
      <c r="R17" s="47" t="s">
        <v>70</v>
      </c>
      <c r="S17" s="89">
        <v>92311098.860000014</v>
      </c>
      <c r="T17" s="89">
        <f t="shared" si="1"/>
        <v>0</v>
      </c>
      <c r="U17" s="89">
        <v>-2326782.34999996</v>
      </c>
    </row>
    <row r="18" spans="1:21" x14ac:dyDescent="0.2">
      <c r="A18" s="48"/>
      <c r="B18" s="45"/>
      <c r="C18" s="48"/>
      <c r="D18" s="63" t="s">
        <v>76</v>
      </c>
      <c r="E18" s="60">
        <f t="shared" si="0"/>
        <v>663203.64999999991</v>
      </c>
      <c r="F18" s="46">
        <v>0</v>
      </c>
      <c r="G18" s="46">
        <v>0</v>
      </c>
      <c r="H18" s="46">
        <v>46224.369999999995</v>
      </c>
      <c r="I18" s="46">
        <v>178270.95</v>
      </c>
      <c r="J18" s="46">
        <v>202473.37999999998</v>
      </c>
      <c r="K18" s="46">
        <v>236234.95</v>
      </c>
      <c r="P18" s="47"/>
      <c r="Q18" s="89"/>
      <c r="R18" s="63" t="s">
        <v>76</v>
      </c>
      <c r="S18" s="89">
        <v>663203.64999999991</v>
      </c>
      <c r="T18" s="89">
        <f t="shared" si="1"/>
        <v>0</v>
      </c>
      <c r="U18" s="89">
        <v>0</v>
      </c>
    </row>
    <row r="19" spans="1:21" x14ac:dyDescent="0.2">
      <c r="B19" s="64"/>
      <c r="C19" s="48"/>
      <c r="D19" s="48" t="s">
        <v>21</v>
      </c>
      <c r="E19" s="60">
        <f t="shared" si="0"/>
        <v>31606059.029999997</v>
      </c>
      <c r="F19" s="46">
        <f>1827046.3+2789.88000000035</f>
        <v>1829836.1800000004</v>
      </c>
      <c r="G19" s="46">
        <f>2088729.79 + 10196.6700000017</f>
        <v>2098926.4600000018</v>
      </c>
      <c r="H19" s="46">
        <f>8164644.1+413957.259999998</f>
        <v>8578601.3599999975</v>
      </c>
      <c r="I19" s="46">
        <v>7283484.0200000014</v>
      </c>
      <c r="J19" s="46">
        <f>6607558.28-889665.890000004</f>
        <v>5717892.3899999959</v>
      </c>
      <c r="K19" s="46">
        <v>6097318.6199999982</v>
      </c>
      <c r="P19" s="47"/>
      <c r="Q19" s="89"/>
      <c r="R19" s="47" t="s">
        <v>21</v>
      </c>
      <c r="S19" s="89">
        <v>31606059.029999997</v>
      </c>
      <c r="T19" s="89">
        <f t="shared" si="1"/>
        <v>0</v>
      </c>
      <c r="U19" s="89">
        <v>-889665.89000000397</v>
      </c>
    </row>
    <row r="20" spans="1:21" x14ac:dyDescent="0.2">
      <c r="A20" s="48"/>
      <c r="B20" s="45"/>
      <c r="C20" s="48"/>
      <c r="D20" s="48" t="s">
        <v>22</v>
      </c>
      <c r="E20" s="60">
        <f t="shared" si="0"/>
        <v>27913267.170000013</v>
      </c>
      <c r="F20" s="46">
        <f>3201445.58+2958.96000000182</f>
        <v>3204404.5400000019</v>
      </c>
      <c r="G20" s="46">
        <f>4881252.26 + 369.260000001639</f>
        <v>4881621.5200000014</v>
      </c>
      <c r="H20" s="46">
        <f>5117136.78-4487.47000000625</f>
        <v>5112649.309999994</v>
      </c>
      <c r="I20" s="46">
        <v>4849246.9799999995</v>
      </c>
      <c r="J20" s="46">
        <v>5690214.1699999999</v>
      </c>
      <c r="K20" s="46">
        <f>4610200.06-435069.409999982</f>
        <v>4175130.6500000176</v>
      </c>
      <c r="P20" s="47"/>
      <c r="Q20" s="89"/>
      <c r="R20" s="47" t="s">
        <v>22</v>
      </c>
      <c r="S20" s="89">
        <v>27913267.170000017</v>
      </c>
      <c r="T20" s="89">
        <f t="shared" si="1"/>
        <v>0</v>
      </c>
      <c r="U20" s="89">
        <v>-435069.40999998199</v>
      </c>
    </row>
    <row r="21" spans="1:21" x14ac:dyDescent="0.2">
      <c r="A21" s="48"/>
      <c r="B21" s="45"/>
      <c r="C21" s="48"/>
      <c r="D21" s="48" t="s">
        <v>23</v>
      </c>
      <c r="E21" s="60">
        <f t="shared" si="0"/>
        <v>1046897.2</v>
      </c>
      <c r="F21" s="46">
        <v>37262.15</v>
      </c>
      <c r="G21" s="46">
        <v>85864.19</v>
      </c>
      <c r="H21" s="46">
        <v>246719.28</v>
      </c>
      <c r="I21" s="46">
        <v>228390.53</v>
      </c>
      <c r="J21" s="46">
        <f>206081.16-20000.0000000001</f>
        <v>186081.15999999992</v>
      </c>
      <c r="K21" s="46">
        <v>262579.89</v>
      </c>
      <c r="P21" s="47"/>
      <c r="Q21" s="89"/>
      <c r="R21" s="47" t="s">
        <v>23</v>
      </c>
      <c r="S21" s="89">
        <v>1046897.2000000001</v>
      </c>
      <c r="T21" s="89">
        <f t="shared" si="1"/>
        <v>0</v>
      </c>
      <c r="U21" s="89">
        <v>-20000.000000000098</v>
      </c>
    </row>
    <row r="22" spans="1:21" x14ac:dyDescent="0.2">
      <c r="A22" s="48"/>
      <c r="B22" s="45"/>
      <c r="C22" s="48"/>
      <c r="D22" s="48" t="s">
        <v>29</v>
      </c>
      <c r="E22" s="60">
        <f t="shared" si="0"/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P22" s="47"/>
      <c r="Q22" s="89"/>
      <c r="R22" s="47" t="s">
        <v>29</v>
      </c>
      <c r="S22" s="89">
        <v>0</v>
      </c>
      <c r="T22" s="89">
        <f t="shared" si="1"/>
        <v>0</v>
      </c>
      <c r="U22" s="89">
        <v>0</v>
      </c>
    </row>
    <row r="23" spans="1:21" x14ac:dyDescent="0.2">
      <c r="A23" s="48"/>
      <c r="B23" s="45"/>
      <c r="C23" s="48"/>
      <c r="D23" s="48" t="s">
        <v>30</v>
      </c>
      <c r="E23" s="60">
        <f t="shared" si="0"/>
        <v>432428.87</v>
      </c>
      <c r="F23" s="46">
        <v>0</v>
      </c>
      <c r="G23" s="46">
        <v>15736.230000000001</v>
      </c>
      <c r="H23" s="46">
        <v>110541.05999999998</v>
      </c>
      <c r="I23" s="46">
        <v>108750.57</v>
      </c>
      <c r="J23" s="46">
        <v>94848.08</v>
      </c>
      <c r="K23" s="46">
        <v>102552.93000000001</v>
      </c>
      <c r="P23" s="47"/>
      <c r="Q23" s="89"/>
      <c r="R23" s="47" t="s">
        <v>30</v>
      </c>
      <c r="S23" s="89">
        <v>432428.87</v>
      </c>
      <c r="T23" s="89">
        <f t="shared" si="1"/>
        <v>0</v>
      </c>
      <c r="U23" s="89">
        <v>0</v>
      </c>
    </row>
    <row r="24" spans="1:21" x14ac:dyDescent="0.2">
      <c r="A24" s="48"/>
      <c r="B24" s="45"/>
      <c r="C24" s="48"/>
      <c r="D24" s="48" t="s">
        <v>25</v>
      </c>
      <c r="E24" s="60">
        <f t="shared" si="0"/>
        <v>42500000</v>
      </c>
      <c r="F24" s="46">
        <v>21000000</v>
      </c>
      <c r="G24" s="46">
        <v>0</v>
      </c>
      <c r="H24" s="46">
        <v>0</v>
      </c>
      <c r="I24" s="46">
        <v>0</v>
      </c>
      <c r="J24" s="46">
        <v>21500000</v>
      </c>
      <c r="K24" s="46">
        <v>0</v>
      </c>
      <c r="P24" s="47"/>
      <c r="Q24" s="89"/>
      <c r="R24" s="47" t="s">
        <v>25</v>
      </c>
      <c r="S24" s="89">
        <v>42500000</v>
      </c>
      <c r="T24" s="89">
        <f t="shared" si="1"/>
        <v>0</v>
      </c>
      <c r="U24" s="89">
        <v>0</v>
      </c>
    </row>
    <row r="25" spans="1:21" ht="13.5" thickBot="1" x14ac:dyDescent="0.25">
      <c r="A25" s="48"/>
      <c r="B25" s="45"/>
      <c r="C25" s="48"/>
      <c r="D25" s="47" t="s">
        <v>24</v>
      </c>
      <c r="E25" s="60">
        <f t="shared" si="0"/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P25" s="47"/>
      <c r="Q25" s="89"/>
      <c r="R25" s="47" t="s">
        <v>24</v>
      </c>
      <c r="S25" s="89">
        <v>0</v>
      </c>
      <c r="T25" s="89">
        <f t="shared" ref="T25" si="2">S25-E25</f>
        <v>0</v>
      </c>
      <c r="U25" s="89">
        <v>0</v>
      </c>
    </row>
    <row r="26" spans="1:21" ht="13.5" thickBot="1" x14ac:dyDescent="0.25">
      <c r="A26" s="48"/>
      <c r="B26" s="45"/>
      <c r="C26" s="48"/>
      <c r="D26" s="65" t="s">
        <v>55</v>
      </c>
      <c r="E26" s="66">
        <f>SUM(E9:E24)</f>
        <v>722596279.20000041</v>
      </c>
      <c r="F26" s="67">
        <f>SUM(F9:F25)</f>
        <v>58777482.709999993</v>
      </c>
      <c r="G26" s="67">
        <f>SUM(G9:G25)</f>
        <v>51262941.400000505</v>
      </c>
      <c r="H26" s="67">
        <f>SUM(H9:H25)</f>
        <v>176971527.07000005</v>
      </c>
      <c r="I26" s="67">
        <f>SUM(I9:I25)</f>
        <v>150991894.0799987</v>
      </c>
      <c r="J26" s="67">
        <f>SUM(J9:J25)</f>
        <v>147390067.37000144</v>
      </c>
      <c r="K26" s="67"/>
      <c r="L26" s="67"/>
      <c r="M26" s="67"/>
      <c r="N26" s="67"/>
      <c r="O26" s="67"/>
      <c r="P26" s="67"/>
      <c r="Q26" s="67">
        <f t="shared" ref="K26:Q26" si="3">SUM(Q9:Q24)</f>
        <v>0</v>
      </c>
      <c r="S26" s="117">
        <f>SUM(S9:S24)</f>
        <v>722596279.20000041</v>
      </c>
      <c r="T26" s="117">
        <f>SUM(T9:T24)</f>
        <v>0</v>
      </c>
      <c r="U26" s="117">
        <f>SUM(U9:U24)</f>
        <v>3041203.890001649</v>
      </c>
    </row>
    <row r="27" spans="1:21" x14ac:dyDescent="0.2">
      <c r="A27" s="48"/>
      <c r="B27" s="45"/>
      <c r="C27" s="48"/>
      <c r="D27" s="48"/>
      <c r="E27" s="48"/>
      <c r="F27" s="45"/>
      <c r="G27" s="45"/>
    </row>
    <row r="28" spans="1:21" ht="29.25" customHeight="1" x14ac:dyDescent="0.2">
      <c r="A28" s="11"/>
      <c r="B28" s="159" t="s">
        <v>82</v>
      </c>
      <c r="C28" s="159"/>
      <c r="D28" s="159"/>
      <c r="E28" s="159"/>
      <c r="F28" s="159"/>
      <c r="G28" s="68"/>
    </row>
    <row r="29" spans="1:21" x14ac:dyDescent="0.2">
      <c r="A29" s="48"/>
      <c r="B29" s="45"/>
      <c r="C29" s="48"/>
      <c r="D29" s="48"/>
      <c r="E29" s="122"/>
      <c r="F29" s="45"/>
      <c r="G29" s="45"/>
    </row>
    <row r="30" spans="1:21" ht="29.25" customHeight="1" x14ac:dyDescent="0.2">
      <c r="B30" s="159" t="str">
        <f>"GENERAL OPERATIONS" &amp; " YTD EXPENSES"&amp;CHAR(10)&amp;TEXT(C6,"$#,##0")</f>
        <v>GENERAL OPERATIONS YTD EXPENSES
$722,596,279</v>
      </c>
      <c r="C30" s="159"/>
      <c r="D30" s="159"/>
      <c r="E30" s="159"/>
      <c r="F30" s="159"/>
      <c r="G30" s="68"/>
      <c r="H30" s="121" t="s">
        <v>83</v>
      </c>
    </row>
    <row r="31" spans="1:21" x14ac:dyDescent="0.2">
      <c r="A31" s="48"/>
      <c r="B31" s="45"/>
      <c r="C31" s="48"/>
      <c r="D31" s="48"/>
      <c r="E31" s="48"/>
      <c r="F31" s="45"/>
      <c r="G31" s="45"/>
    </row>
    <row r="32" spans="1:21" x14ac:dyDescent="0.2">
      <c r="A32" s="48"/>
      <c r="B32" s="45"/>
      <c r="C32" s="48"/>
      <c r="D32" s="48"/>
      <c r="E32" s="48"/>
      <c r="F32" s="45"/>
      <c r="G32" s="45"/>
    </row>
    <row r="33" spans="1:104" x14ac:dyDescent="0.2">
      <c r="A33" s="48"/>
      <c r="B33" s="45"/>
      <c r="C33" s="48"/>
      <c r="D33" s="48"/>
      <c r="E33" s="45"/>
      <c r="F33" s="45"/>
      <c r="G33" s="45"/>
    </row>
    <row r="34" spans="1:104" x14ac:dyDescent="0.2">
      <c r="A34" s="69"/>
      <c r="B34" s="70"/>
      <c r="C34" s="69"/>
      <c r="D34" s="69"/>
      <c r="E34" s="69"/>
      <c r="F34" s="70"/>
      <c r="G34" s="70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2"/>
    </row>
    <row r="35" spans="1:104" x14ac:dyDescent="0.2">
      <c r="A35" s="48"/>
      <c r="B35" s="45"/>
      <c r="C35" s="48"/>
      <c r="D35" s="48"/>
      <c r="E35" s="48"/>
      <c r="F35" s="45"/>
      <c r="G35" s="45"/>
    </row>
    <row r="36" spans="1:104" x14ac:dyDescent="0.2">
      <c r="A36" s="48"/>
      <c r="B36" s="45"/>
      <c r="C36" s="48"/>
      <c r="D36" s="48"/>
      <c r="E36" s="48"/>
      <c r="F36" s="45"/>
      <c r="G36" s="45"/>
    </row>
    <row r="37" spans="1:104" ht="13.5" thickBot="1" x14ac:dyDescent="0.25"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1:104" ht="13.5" thickBot="1" x14ac:dyDescent="0.25">
      <c r="A38" s="160" t="s">
        <v>56</v>
      </c>
      <c r="B38" s="161"/>
      <c r="C38" s="161"/>
      <c r="D38" s="161"/>
      <c r="E38" s="161"/>
      <c r="F38" s="162"/>
      <c r="G38" s="48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1:104" ht="13.5" thickBot="1" x14ac:dyDescent="0.25">
      <c r="B39" s="46"/>
      <c r="D39" s="48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1:104" ht="26.25" thickBot="1" x14ac:dyDescent="0.25">
      <c r="B40" s="73" t="s">
        <v>57</v>
      </c>
      <c r="C40" s="74" t="s">
        <v>58</v>
      </c>
      <c r="D40" s="75" t="s">
        <v>59</v>
      </c>
      <c r="E40" s="76" t="s">
        <v>40</v>
      </c>
      <c r="F40" s="77" t="s">
        <v>41</v>
      </c>
      <c r="G40" s="77" t="s">
        <v>42</v>
      </c>
      <c r="H40" s="77" t="s">
        <v>43</v>
      </c>
      <c r="I40" s="77" t="s">
        <v>44</v>
      </c>
      <c r="J40" s="77" t="s">
        <v>45</v>
      </c>
      <c r="K40" s="77" t="s">
        <v>46</v>
      </c>
      <c r="L40" s="77" t="s">
        <v>47</v>
      </c>
      <c r="M40" s="77" t="s">
        <v>48</v>
      </c>
      <c r="N40" s="77" t="s">
        <v>49</v>
      </c>
      <c r="O40" s="77" t="s">
        <v>50</v>
      </c>
      <c r="P40" s="77" t="s">
        <v>51</v>
      </c>
      <c r="Q40" s="47"/>
      <c r="R40" s="78"/>
    </row>
    <row r="41" spans="1:104" s="78" customFormat="1" ht="14.25" x14ac:dyDescent="0.2">
      <c r="A41" s="78" t="s">
        <v>8</v>
      </c>
      <c r="B41" s="139">
        <v>970273398</v>
      </c>
      <c r="C41" s="79">
        <f>SUM(E41:P41)</f>
        <v>882271632.45999992</v>
      </c>
      <c r="D41" s="80">
        <f t="shared" ref="D41:D46" si="4">C41/B41</f>
        <v>0.9093020939032278</v>
      </c>
      <c r="E41" s="124">
        <v>0</v>
      </c>
      <c r="F41" s="124">
        <f>18226313.12-8472.37999999523</f>
        <v>18217840.740000006</v>
      </c>
      <c r="G41" s="124">
        <f>130717882.49+13313.5699999332</f>
        <v>130731196.05999993</v>
      </c>
      <c r="H41" s="124">
        <v>380254304.59000009</v>
      </c>
      <c r="I41" s="124">
        <f>295283980.74+662.229999899864</f>
        <v>295284642.96999991</v>
      </c>
      <c r="J41" s="124">
        <v>57783648.099999994</v>
      </c>
      <c r="K41" s="124"/>
      <c r="L41" s="124"/>
      <c r="M41" s="124"/>
      <c r="N41" s="124"/>
      <c r="O41" s="124"/>
      <c r="P41" s="124"/>
      <c r="R41" s="78" t="s">
        <v>8</v>
      </c>
      <c r="S41" s="123">
        <v>882271632.45999992</v>
      </c>
      <c r="T41" s="123">
        <f>S41 - C41</f>
        <v>0</v>
      </c>
      <c r="U41" s="89">
        <v>662.22999989986397</v>
      </c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</row>
    <row r="42" spans="1:104" s="78" customFormat="1" ht="14.25" x14ac:dyDescent="0.2">
      <c r="A42" s="78" t="s">
        <v>9</v>
      </c>
      <c r="B42" s="140">
        <v>15000000</v>
      </c>
      <c r="C42" s="81">
        <f>SUM(E42:P42)</f>
        <v>11207934.240000002</v>
      </c>
      <c r="D42" s="82">
        <f t="shared" si="4"/>
        <v>0.74719561600000017</v>
      </c>
      <c r="E42" s="125">
        <v>2000986.86</v>
      </c>
      <c r="F42" s="125">
        <v>1742554.54</v>
      </c>
      <c r="G42" s="125">
        <v>1260011.31</v>
      </c>
      <c r="H42" s="125">
        <v>1546311.13</v>
      </c>
      <c r="I42" s="125">
        <f>0+1854405.51</f>
        <v>1854405.51</v>
      </c>
      <c r="J42" s="125">
        <v>2803664.89</v>
      </c>
      <c r="K42" s="125"/>
      <c r="L42" s="125"/>
      <c r="M42" s="125"/>
      <c r="N42" s="125"/>
      <c r="O42" s="125"/>
      <c r="P42" s="125"/>
      <c r="R42" s="78" t="s">
        <v>9</v>
      </c>
      <c r="S42" s="135">
        <v>11207934.24</v>
      </c>
      <c r="T42" s="123">
        <f>S42 - C42</f>
        <v>0</v>
      </c>
      <c r="U42" s="123">
        <v>1854405.51</v>
      </c>
    </row>
    <row r="43" spans="1:104" s="78" customFormat="1" ht="14.25" x14ac:dyDescent="0.2">
      <c r="A43" s="78" t="s">
        <v>10</v>
      </c>
      <c r="B43" s="140">
        <v>560327715</v>
      </c>
      <c r="C43" s="81">
        <f>SUM(E43:P43)</f>
        <v>229827711.80000001</v>
      </c>
      <c r="D43" s="82">
        <f t="shared" si="4"/>
        <v>0.41016659652467846</v>
      </c>
      <c r="E43" s="125">
        <v>7843261</v>
      </c>
      <c r="F43" s="125">
        <f>7509691 + 281966</f>
        <v>7791657</v>
      </c>
      <c r="G43" s="125">
        <f>46051372+7705727.19999997</f>
        <v>53757099.199999973</v>
      </c>
      <c r="H43" s="125">
        <v>53135794.200000003</v>
      </c>
      <c r="I43" s="125">
        <f>45944251+8326932.20000005</f>
        <v>54271183.200000048</v>
      </c>
      <c r="J43" s="125">
        <v>53028717.200000003</v>
      </c>
      <c r="K43" s="125"/>
      <c r="L43" s="125"/>
      <c r="M43" s="125"/>
      <c r="N43" s="125"/>
      <c r="O43" s="125"/>
      <c r="P43" s="125"/>
      <c r="R43" s="78" t="s">
        <v>10</v>
      </c>
      <c r="S43" s="135">
        <v>229827711.80000001</v>
      </c>
      <c r="T43" s="123">
        <f>S43 - C43</f>
        <v>0</v>
      </c>
      <c r="U43" s="123">
        <v>8326932.2000000495</v>
      </c>
    </row>
    <row r="44" spans="1:104" s="78" customFormat="1" ht="14.25" x14ac:dyDescent="0.2">
      <c r="A44" s="78" t="s">
        <v>74</v>
      </c>
      <c r="B44" s="140">
        <v>7075000</v>
      </c>
      <c r="C44" s="81">
        <f>SUM(E44:P44)</f>
        <v>0</v>
      </c>
      <c r="D44" s="82">
        <f>IF(B44=0,0,C44/B44)</f>
        <v>0</v>
      </c>
      <c r="E44" s="125">
        <v>0</v>
      </c>
      <c r="F44" s="125">
        <v>0</v>
      </c>
      <c r="G44" s="125">
        <v>0</v>
      </c>
      <c r="H44" s="125">
        <v>0</v>
      </c>
      <c r="I44" s="125">
        <v>0</v>
      </c>
      <c r="J44" s="125">
        <v>0</v>
      </c>
      <c r="K44" s="125"/>
      <c r="L44" s="125"/>
      <c r="M44" s="125"/>
      <c r="N44" s="125"/>
      <c r="O44" s="125"/>
      <c r="P44" s="125"/>
      <c r="R44" s="78" t="s">
        <v>74</v>
      </c>
      <c r="S44" s="135">
        <v>0</v>
      </c>
      <c r="T44" s="123">
        <f>S44 - C44</f>
        <v>0</v>
      </c>
      <c r="U44" s="123">
        <v>0</v>
      </c>
    </row>
    <row r="45" spans="1:104" s="78" customFormat="1" ht="15" thickBot="1" x14ac:dyDescent="0.25">
      <c r="A45" s="78" t="s">
        <v>11</v>
      </c>
      <c r="B45" s="141">
        <v>0</v>
      </c>
      <c r="C45" s="81">
        <f>SUM(E45:P45)</f>
        <v>109545.11</v>
      </c>
      <c r="D45" s="82">
        <f>IF(B45=0,0,C45/B45)</f>
        <v>0</v>
      </c>
      <c r="E45" s="126">
        <v>0</v>
      </c>
      <c r="F45" s="126">
        <v>0</v>
      </c>
      <c r="G45" s="126">
        <v>99028.23</v>
      </c>
      <c r="H45" s="126">
        <v>0</v>
      </c>
      <c r="I45" s="126">
        <v>10516.88</v>
      </c>
      <c r="J45" s="126">
        <v>0</v>
      </c>
      <c r="K45" s="126"/>
      <c r="L45" s="126"/>
      <c r="M45" s="126"/>
      <c r="N45" s="126"/>
      <c r="O45" s="126"/>
      <c r="P45" s="126"/>
      <c r="R45" s="78" t="s">
        <v>11</v>
      </c>
      <c r="S45" s="135">
        <v>109545.11</v>
      </c>
      <c r="T45" s="123">
        <f>S45 - C45</f>
        <v>0</v>
      </c>
      <c r="U45" s="123">
        <v>0</v>
      </c>
    </row>
    <row r="46" spans="1:104" s="83" customFormat="1" ht="12.75" customHeight="1" thickBot="1" x14ac:dyDescent="0.25">
      <c r="B46" s="84">
        <f>SUM(B41:B45)</f>
        <v>1552676113</v>
      </c>
      <c r="C46" s="85">
        <f>SUM(C41:C45)</f>
        <v>1123416823.6099999</v>
      </c>
      <c r="D46" s="86">
        <f t="shared" si="4"/>
        <v>0.72353584511543256</v>
      </c>
      <c r="E46" s="87">
        <f>SUM(E41:E45)</f>
        <v>9844247.8599999994</v>
      </c>
      <c r="F46" s="88">
        <f t="shared" ref="F46:P46" si="5">SUM(F41:F45)</f>
        <v>27752052.280000005</v>
      </c>
      <c r="G46" s="88">
        <f t="shared" si="5"/>
        <v>185847334.79999989</v>
      </c>
      <c r="H46" s="88">
        <f t="shared" si="5"/>
        <v>434936409.92000008</v>
      </c>
      <c r="I46" s="88">
        <f t="shared" si="5"/>
        <v>351420748.55999994</v>
      </c>
      <c r="J46" s="88">
        <f t="shared" si="5"/>
        <v>113616030.19</v>
      </c>
      <c r="K46" s="88"/>
      <c r="L46" s="88"/>
      <c r="M46" s="88"/>
      <c r="N46" s="88"/>
      <c r="O46" s="88"/>
      <c r="P46" s="88"/>
      <c r="Q46" s="47"/>
      <c r="R46" s="46"/>
      <c r="S46" s="135"/>
      <c r="T46" s="123"/>
      <c r="U46" s="123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</row>
    <row r="47" spans="1:104" ht="13.5" thickBot="1" x14ac:dyDescent="0.25">
      <c r="B47" s="46"/>
      <c r="C47" s="89"/>
      <c r="E47" s="46"/>
      <c r="L47" s="47"/>
      <c r="M47" s="47"/>
      <c r="N47" s="47"/>
      <c r="O47" s="47"/>
      <c r="P47" s="47"/>
      <c r="Q47" s="47"/>
      <c r="U47" s="137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</row>
    <row r="48" spans="1:104" s="83" customFormat="1" ht="12.75" customHeight="1" x14ac:dyDescent="0.2">
      <c r="A48" s="90" t="s">
        <v>60</v>
      </c>
      <c r="B48" s="91">
        <f>+B41+B42+B45+B44</f>
        <v>992348398</v>
      </c>
      <c r="C48" s="79">
        <f>+C41+C42+C44+C45</f>
        <v>893589111.80999994</v>
      </c>
      <c r="D48" s="92">
        <f>C48/B48</f>
        <v>0.90047922041387718</v>
      </c>
      <c r="E48" s="93">
        <f>+E41+E42+E44+E45</f>
        <v>2000986.86</v>
      </c>
      <c r="F48" s="93">
        <f t="shared" ref="F48:P48" si="6">+F41+F42+F44+F45</f>
        <v>19960395.280000005</v>
      </c>
      <c r="G48" s="93">
        <f t="shared" si="6"/>
        <v>132090235.59999993</v>
      </c>
      <c r="H48" s="93">
        <f t="shared" si="6"/>
        <v>381800615.72000009</v>
      </c>
      <c r="I48" s="93">
        <f t="shared" si="6"/>
        <v>297149565.3599999</v>
      </c>
      <c r="J48" s="93">
        <f t="shared" si="6"/>
        <v>60587312.989999995</v>
      </c>
      <c r="K48" s="93"/>
      <c r="L48" s="93"/>
      <c r="M48" s="93"/>
      <c r="N48" s="93"/>
      <c r="O48" s="93"/>
      <c r="P48" s="93"/>
      <c r="Q48" s="47"/>
      <c r="R48" s="47"/>
      <c r="S48" s="89"/>
      <c r="T48" s="89"/>
      <c r="U48" s="89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</row>
    <row r="49" spans="1:104" s="83" customFormat="1" ht="12.75" customHeight="1" thickBot="1" x14ac:dyDescent="0.25">
      <c r="A49" s="90" t="s">
        <v>61</v>
      </c>
      <c r="B49" s="94">
        <f>B43</f>
        <v>560327715</v>
      </c>
      <c r="C49" s="95">
        <f>C43</f>
        <v>229827711.80000001</v>
      </c>
      <c r="D49" s="96">
        <f>C49/B49</f>
        <v>0.41016659652467846</v>
      </c>
      <c r="E49" s="97">
        <f>E43</f>
        <v>7843261</v>
      </c>
      <c r="F49" s="97">
        <f t="shared" ref="F49:P49" si="7">F43</f>
        <v>7791657</v>
      </c>
      <c r="G49" s="97">
        <f t="shared" si="7"/>
        <v>53757099.199999973</v>
      </c>
      <c r="H49" s="97">
        <f t="shared" si="7"/>
        <v>53135794.200000003</v>
      </c>
      <c r="I49" s="97">
        <f t="shared" si="7"/>
        <v>54271183.200000048</v>
      </c>
      <c r="J49" s="97">
        <f t="shared" si="7"/>
        <v>53028717.200000003</v>
      </c>
      <c r="K49" s="97"/>
      <c r="L49" s="97"/>
      <c r="M49" s="97"/>
      <c r="N49" s="97"/>
      <c r="O49" s="97"/>
      <c r="P49" s="97"/>
      <c r="Q49" s="47"/>
      <c r="R49" s="47"/>
      <c r="S49" s="89"/>
      <c r="T49" s="89"/>
      <c r="U49" s="137"/>
    </row>
    <row r="50" spans="1:104" s="83" customFormat="1" ht="12.75" customHeight="1" thickBot="1" x14ac:dyDescent="0.25">
      <c r="B50" s="84">
        <f>SUM(B48:B49)</f>
        <v>1552676113</v>
      </c>
      <c r="C50" s="98">
        <f>SUM(C48:C49)</f>
        <v>1123416823.6099999</v>
      </c>
      <c r="D50" s="99">
        <f>C50/B50</f>
        <v>0.72353584511543256</v>
      </c>
      <c r="E50" s="100">
        <f>+E48+E49</f>
        <v>9844247.8599999994</v>
      </c>
      <c r="F50" s="101">
        <f t="shared" ref="F50:P50" si="8">+F48+F49</f>
        <v>27752052.280000005</v>
      </c>
      <c r="G50" s="101">
        <f t="shared" si="8"/>
        <v>185847334.79999989</v>
      </c>
      <c r="H50" s="101">
        <f t="shared" si="8"/>
        <v>434936409.92000008</v>
      </c>
      <c r="I50" s="101">
        <f t="shared" si="8"/>
        <v>351420748.55999994</v>
      </c>
      <c r="J50" s="101">
        <f t="shared" si="8"/>
        <v>113616030.19</v>
      </c>
      <c r="K50" s="101"/>
      <c r="L50" s="101"/>
      <c r="M50" s="101"/>
      <c r="N50" s="101"/>
      <c r="O50" s="101"/>
      <c r="P50" s="102"/>
      <c r="Q50" s="47"/>
      <c r="R50" s="47"/>
      <c r="S50" s="89"/>
      <c r="T50" s="89"/>
      <c r="U50" s="137"/>
    </row>
    <row r="51" spans="1:104" s="83" customFormat="1" ht="12.75" customHeight="1" thickBot="1" x14ac:dyDescent="0.25"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89"/>
      <c r="T51" s="89"/>
      <c r="U51" s="137"/>
    </row>
    <row r="52" spans="1:104" s="83" customFormat="1" ht="12.75" customHeight="1" thickBot="1" x14ac:dyDescent="0.25">
      <c r="C52" s="152" t="s">
        <v>62</v>
      </c>
      <c r="D52" s="153"/>
      <c r="E52" s="103" t="s">
        <v>40</v>
      </c>
      <c r="F52" s="104" t="s">
        <v>41</v>
      </c>
      <c r="G52" s="104" t="s">
        <v>42</v>
      </c>
      <c r="H52" s="104" t="s">
        <v>43</v>
      </c>
      <c r="I52" s="104" t="s">
        <v>44</v>
      </c>
      <c r="J52" s="104" t="s">
        <v>45</v>
      </c>
      <c r="K52" s="104"/>
      <c r="L52" s="104"/>
      <c r="M52" s="104"/>
      <c r="N52" s="104"/>
      <c r="O52" s="104"/>
      <c r="P52" s="50"/>
      <c r="Q52" s="47"/>
      <c r="R52" s="47"/>
      <c r="S52" s="89"/>
      <c r="T52" s="89"/>
      <c r="U52" s="137"/>
    </row>
    <row r="53" spans="1:104" s="83" customFormat="1" ht="12.75" customHeight="1" x14ac:dyDescent="0.2">
      <c r="C53" s="105" t="s">
        <v>60</v>
      </c>
      <c r="D53" s="47"/>
      <c r="E53" s="46">
        <f>E48</f>
        <v>2000986.86</v>
      </c>
      <c r="F53" s="46">
        <f>E53+F48</f>
        <v>21961382.140000004</v>
      </c>
      <c r="G53" s="46">
        <f t="shared" ref="G53:P54" si="9">F53+G48</f>
        <v>154051617.73999995</v>
      </c>
      <c r="H53" s="46">
        <f t="shared" si="9"/>
        <v>535852233.46000004</v>
      </c>
      <c r="I53" s="46">
        <f t="shared" si="9"/>
        <v>833001798.81999993</v>
      </c>
      <c r="J53" s="46">
        <f t="shared" si="9"/>
        <v>893589111.80999994</v>
      </c>
      <c r="K53" s="46"/>
      <c r="L53" s="46"/>
      <c r="M53" s="46"/>
      <c r="N53" s="46"/>
      <c r="O53" s="46"/>
      <c r="P53" s="46"/>
      <c r="Q53" s="47"/>
      <c r="R53" s="47"/>
      <c r="S53" s="89"/>
      <c r="T53" s="89"/>
      <c r="U53" s="137"/>
    </row>
    <row r="54" spans="1:104" s="83" customFormat="1" ht="12.75" customHeight="1" thickBot="1" x14ac:dyDescent="0.25">
      <c r="C54" s="105" t="s">
        <v>61</v>
      </c>
      <c r="D54" s="47"/>
      <c r="E54" s="46">
        <f>E49</f>
        <v>7843261</v>
      </c>
      <c r="F54" s="46">
        <f>E54+F49</f>
        <v>15634918</v>
      </c>
      <c r="G54" s="46">
        <f t="shared" si="9"/>
        <v>69392017.199999973</v>
      </c>
      <c r="H54" s="46">
        <f t="shared" si="9"/>
        <v>122527811.39999998</v>
      </c>
      <c r="I54" s="46">
        <f t="shared" si="9"/>
        <v>176798994.60000002</v>
      </c>
      <c r="J54" s="46">
        <f t="shared" si="9"/>
        <v>229827711.80000001</v>
      </c>
      <c r="K54" s="46"/>
      <c r="L54" s="46"/>
      <c r="M54" s="46"/>
      <c r="N54" s="46"/>
      <c r="O54" s="46"/>
      <c r="P54" s="46"/>
      <c r="Q54" s="47"/>
      <c r="R54" s="47"/>
      <c r="S54" s="89"/>
      <c r="T54" s="89"/>
      <c r="U54" s="137"/>
    </row>
    <row r="55" spans="1:104" s="83" customFormat="1" ht="12.75" customHeight="1" thickBot="1" x14ac:dyDescent="0.25">
      <c r="C55" s="106" t="s">
        <v>63</v>
      </c>
      <c r="D55" s="47"/>
      <c r="E55" s="107">
        <f>+E53+E54</f>
        <v>9844247.8599999994</v>
      </c>
      <c r="F55" s="107">
        <f t="shared" ref="F55:P55" si="10">+F53+F54</f>
        <v>37596300.140000001</v>
      </c>
      <c r="G55" s="107">
        <f t="shared" si="10"/>
        <v>223443634.93999994</v>
      </c>
      <c r="H55" s="107">
        <f t="shared" si="10"/>
        <v>658380044.86000001</v>
      </c>
      <c r="I55" s="107">
        <f t="shared" si="10"/>
        <v>1009800793.42</v>
      </c>
      <c r="J55" s="107">
        <f t="shared" si="10"/>
        <v>1123416823.6099999</v>
      </c>
      <c r="K55" s="107"/>
      <c r="L55" s="107"/>
      <c r="M55" s="107"/>
      <c r="N55" s="107"/>
      <c r="O55" s="107"/>
      <c r="P55" s="107"/>
      <c r="Q55" s="47"/>
      <c r="R55" s="47"/>
      <c r="S55" s="89"/>
      <c r="T55" s="89"/>
      <c r="U55" s="137"/>
    </row>
    <row r="56" spans="1:104" s="83" customFormat="1" ht="12.75" customHeight="1" x14ac:dyDescent="0.2">
      <c r="C56" s="108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89"/>
      <c r="T56" s="89"/>
      <c r="U56" s="137"/>
    </row>
    <row r="57" spans="1:104" ht="38.25" x14ac:dyDescent="0.2">
      <c r="A57" s="89"/>
      <c r="B57" s="132" t="str">
        <f>"(LOCAL &amp; OTHER)" &amp; "  " &amp; "Budgeted: " &amp; TEXT(B48,"$#,##0")  &amp; "  " &amp; "Actual: " &amp; TEXT(C48,"$#,##0") &amp; "  " &amp; TEXT(D48,"###.00%") &amp; CHAR(10) &amp; "(STATE)" &amp; "  " &amp; "Budgeted: " &amp; TEXT(B49,"$#,##0") &amp; "  " &amp; "Actual: " &amp; TEXT(C49,"$#,##0") &amp; "   " &amp; TEXT(D49,"###.00%") &amp; CHAR(10) &amp; "TOTAL Budgeted: " &amp; TEXT(B50,"$#,##0") &amp; "  " &amp; "Actual: " &amp; TEXT(C50,"$#,##0") &amp; "   " &amp; TEXT(D50,"###.00%")</f>
        <v>(LOCAL &amp; OTHER)  Budgeted: $992,348,398  Actual: $893,589,112  90.05%
(STATE)  Budgeted: $560,327,715  Actual: $229,827,712   41.02%
TOTAL Budgeted: $1,552,676,113  Actual: $1,123,416,824   72.35%</v>
      </c>
      <c r="C57" s="132"/>
      <c r="D57" s="132"/>
      <c r="E57" s="132"/>
      <c r="F57" s="132"/>
      <c r="G57" s="132"/>
      <c r="H57" s="132"/>
      <c r="I57" s="132"/>
      <c r="J57" s="132"/>
      <c r="K57" s="132"/>
      <c r="Q57" s="47"/>
      <c r="R57" s="133" t="s">
        <v>84</v>
      </c>
      <c r="U57" s="137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</row>
    <row r="58" spans="1:104" x14ac:dyDescent="0.2">
      <c r="B58" s="151" t="str">
        <f>"(STATE)" &amp; CHAR(9) &amp; "Budgeted: " &amp; TEXT(B49,"$#,##0") &amp; CHAR(9) &amp; "Actual: " &amp; TEXT(C49,"$#,##0") &amp; "   " &amp; TEXT(D49,"###.00%")</f>
        <v>(STATE)	Budgeted: $560,327,715	Actual: $229,827,712   41.02%</v>
      </c>
      <c r="C58" s="151"/>
      <c r="D58" s="151"/>
      <c r="E58" s="151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121"/>
      <c r="T58" s="131"/>
      <c r="U58" s="131"/>
    </row>
    <row r="59" spans="1:104" x14ac:dyDescent="0.2">
      <c r="B59" s="151" t="str">
        <f>"TOTAL Budgeted: " &amp; TEXT(B50,"$#,##0") &amp; CHAR(9) &amp; "Actual: " &amp; TEXT(C50,"$#,##0") &amp; "   " &amp; TEXT(D50,"###.00%")</f>
        <v>TOTAL Budgeted: $1,552,676,113	Actual: $1,123,416,824   72.35%</v>
      </c>
      <c r="C59" s="151"/>
      <c r="D59" s="151"/>
      <c r="E59" s="151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6"/>
    </row>
    <row r="60" spans="1:104" x14ac:dyDescent="0.2">
      <c r="B60" s="109"/>
      <c r="C60" s="110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6"/>
    </row>
    <row r="61" spans="1:104" ht="13.5" thickBot="1" x14ac:dyDescent="0.25">
      <c r="B61" s="46"/>
      <c r="C61" s="89"/>
      <c r="E61" s="46"/>
      <c r="L61" s="47"/>
      <c r="M61" s="47"/>
      <c r="N61" s="47"/>
      <c r="O61" s="47"/>
      <c r="P61" s="47"/>
      <c r="Q61" s="47"/>
    </row>
    <row r="62" spans="1:104" s="89" customFormat="1" ht="26.25" thickBot="1" x14ac:dyDescent="0.25">
      <c r="A62" s="111" t="s">
        <v>32</v>
      </c>
      <c r="B62" s="112" t="s">
        <v>33</v>
      </c>
      <c r="P62" s="47"/>
      <c r="Q62" s="47"/>
      <c r="R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</row>
    <row r="63" spans="1:104" s="89" customFormat="1" x14ac:dyDescent="0.2">
      <c r="A63" s="113" t="s">
        <v>8</v>
      </c>
      <c r="B63" s="114">
        <v>970273398</v>
      </c>
      <c r="C63" s="46"/>
      <c r="N63" s="115"/>
      <c r="O63" s="47"/>
      <c r="P63" s="47"/>
      <c r="Q63" s="47"/>
      <c r="R63" s="47"/>
    </row>
    <row r="64" spans="1:104" x14ac:dyDescent="0.2">
      <c r="A64" s="113" t="s">
        <v>9</v>
      </c>
      <c r="B64" s="114">
        <v>15000000</v>
      </c>
      <c r="C64" s="46"/>
      <c r="E64" s="46"/>
      <c r="G64" s="89"/>
      <c r="I64" s="89"/>
      <c r="J64" s="89"/>
      <c r="K64" s="89"/>
      <c r="L64" s="89"/>
      <c r="M64" s="47"/>
      <c r="N64" s="115"/>
      <c r="O64" s="116"/>
      <c r="P64" s="47"/>
      <c r="Q64" s="47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  <c r="CO64" s="89"/>
      <c r="CP64" s="89"/>
      <c r="CQ64" s="89"/>
      <c r="CR64" s="89"/>
      <c r="CS64" s="89"/>
      <c r="CT64" s="89"/>
      <c r="CU64" s="89"/>
      <c r="CV64" s="89"/>
      <c r="CW64" s="89"/>
      <c r="CX64" s="89"/>
      <c r="CY64" s="89"/>
      <c r="CZ64" s="89"/>
    </row>
    <row r="65" spans="1:20" x14ac:dyDescent="0.2">
      <c r="A65" s="113" t="s">
        <v>10</v>
      </c>
      <c r="B65" s="114">
        <v>560327715</v>
      </c>
      <c r="C65" s="46"/>
      <c r="E65" s="46"/>
      <c r="G65" s="89"/>
      <c r="I65" s="89"/>
      <c r="J65" s="89"/>
      <c r="K65" s="89"/>
      <c r="L65" s="89"/>
      <c r="M65" s="47"/>
      <c r="N65" s="115"/>
      <c r="O65" s="116"/>
      <c r="P65" s="47"/>
      <c r="Q65" s="47"/>
    </row>
    <row r="66" spans="1:20" x14ac:dyDescent="0.2">
      <c r="A66" s="113" t="s">
        <v>74</v>
      </c>
      <c r="B66" s="46">
        <v>7075000</v>
      </c>
      <c r="E66" s="46"/>
      <c r="G66" s="89"/>
      <c r="I66" s="89"/>
      <c r="J66" s="89"/>
      <c r="K66" s="89"/>
      <c r="L66" s="89"/>
      <c r="M66" s="47"/>
      <c r="N66" s="115"/>
      <c r="O66" s="116"/>
      <c r="P66" s="47"/>
      <c r="Q66" s="47"/>
    </row>
    <row r="67" spans="1:20" ht="13.5" thickBot="1" x14ac:dyDescent="0.25">
      <c r="A67" s="113" t="s">
        <v>11</v>
      </c>
      <c r="B67" s="114">
        <v>0</v>
      </c>
      <c r="C67" s="46"/>
      <c r="D67" s="89"/>
      <c r="E67" s="46"/>
      <c r="G67" s="89"/>
      <c r="H67" s="46" t="str">
        <f xml:space="preserve"> CHAR(9)</f>
        <v xml:space="preserve">	</v>
      </c>
      <c r="I67" s="89"/>
      <c r="J67" s="89"/>
      <c r="K67" s="89"/>
      <c r="L67" s="89"/>
      <c r="M67" s="89"/>
      <c r="N67" s="47"/>
      <c r="O67" s="115"/>
      <c r="P67" s="116"/>
      <c r="Q67" s="47"/>
    </row>
    <row r="68" spans="1:20" ht="13.5" thickBot="1" x14ac:dyDescent="0.25">
      <c r="A68" s="117" t="s">
        <v>64</v>
      </c>
      <c r="B68" s="118">
        <f>SUM(B63:B67)</f>
        <v>1552676113</v>
      </c>
      <c r="C68" s="89"/>
      <c r="D68" s="89"/>
      <c r="E68" s="46"/>
      <c r="G68" s="89"/>
      <c r="I68" s="89"/>
      <c r="J68" s="89"/>
      <c r="K68" s="89"/>
      <c r="L68" s="89"/>
      <c r="M68" s="47"/>
      <c r="N68" s="115"/>
      <c r="O68" s="116"/>
      <c r="P68" s="47"/>
      <c r="Q68" s="47"/>
    </row>
    <row r="69" spans="1:20" ht="13.5" thickBot="1" x14ac:dyDescent="0.25">
      <c r="C69" s="46"/>
      <c r="D69" s="89"/>
      <c r="E69" s="46"/>
      <c r="I69" s="89"/>
      <c r="J69" s="89"/>
      <c r="K69" s="89"/>
      <c r="L69" s="89"/>
      <c r="M69" s="89"/>
      <c r="N69" s="47"/>
      <c r="O69" s="115"/>
      <c r="P69" s="116"/>
      <c r="Q69" s="47"/>
    </row>
    <row r="70" spans="1:20" ht="26.25" thickBot="1" x14ac:dyDescent="0.25">
      <c r="B70" s="106" t="s">
        <v>66</v>
      </c>
      <c r="C70" s="119" t="s">
        <v>65</v>
      </c>
      <c r="D70" s="89"/>
      <c r="E70" s="46"/>
      <c r="G70" s="89"/>
      <c r="H70" s="89"/>
      <c r="I70" s="89"/>
      <c r="J70" s="89"/>
      <c r="K70" s="89"/>
      <c r="L70" s="89"/>
      <c r="M70" s="47"/>
      <c r="N70" s="115"/>
      <c r="O70" s="116"/>
      <c r="P70" s="47"/>
      <c r="Q70" s="47"/>
    </row>
    <row r="71" spans="1:20" x14ac:dyDescent="0.2">
      <c r="A71" s="89" t="s">
        <v>8</v>
      </c>
      <c r="B71" s="46">
        <v>970273398</v>
      </c>
      <c r="C71" s="46">
        <v>882271632.45999992</v>
      </c>
      <c r="D71" s="89"/>
      <c r="E71" s="46"/>
      <c r="G71" s="89"/>
      <c r="H71" s="89"/>
      <c r="I71" s="89"/>
      <c r="J71" s="89"/>
      <c r="K71" s="89"/>
      <c r="L71" s="89"/>
      <c r="M71" s="47"/>
      <c r="N71" s="115"/>
      <c r="O71" s="116"/>
      <c r="P71" s="47"/>
      <c r="Q71" s="47"/>
    </row>
    <row r="72" spans="1:20" x14ac:dyDescent="0.2">
      <c r="A72" s="89" t="s">
        <v>9</v>
      </c>
      <c r="B72" s="46">
        <v>15000000</v>
      </c>
      <c r="C72" s="46">
        <v>11207934.240000002</v>
      </c>
      <c r="D72" s="89"/>
      <c r="E72" s="46"/>
      <c r="G72" s="89"/>
      <c r="H72" s="89"/>
      <c r="I72" s="89"/>
      <c r="J72" s="89"/>
      <c r="K72" s="89"/>
      <c r="L72" s="89"/>
      <c r="M72" s="47"/>
      <c r="N72" s="115"/>
      <c r="O72" s="116"/>
      <c r="P72" s="47"/>
      <c r="Q72" s="47"/>
    </row>
    <row r="73" spans="1:20" x14ac:dyDescent="0.2">
      <c r="A73" s="89" t="s">
        <v>10</v>
      </c>
      <c r="B73" s="46">
        <v>560327715</v>
      </c>
      <c r="C73" s="46">
        <v>229827711.80000001</v>
      </c>
      <c r="D73" s="89"/>
      <c r="E73" s="46"/>
      <c r="G73" s="89"/>
      <c r="H73" s="89"/>
      <c r="I73" s="89"/>
      <c r="J73" s="89"/>
      <c r="K73" s="89"/>
      <c r="L73" s="89"/>
      <c r="M73" s="47"/>
      <c r="N73" s="115"/>
      <c r="O73" s="116"/>
      <c r="P73" s="47"/>
      <c r="Q73" s="47"/>
    </row>
    <row r="74" spans="1:20" x14ac:dyDescent="0.2">
      <c r="A74" s="78" t="s">
        <v>74</v>
      </c>
      <c r="B74" s="46">
        <v>7075000</v>
      </c>
      <c r="C74" s="46">
        <v>0</v>
      </c>
      <c r="D74" s="89"/>
      <c r="E74" s="46"/>
      <c r="G74" s="89"/>
      <c r="H74" s="89"/>
      <c r="I74" s="89"/>
      <c r="J74" s="89"/>
      <c r="K74" s="89"/>
      <c r="L74" s="89"/>
      <c r="M74" s="47"/>
      <c r="N74" s="115"/>
      <c r="O74" s="116"/>
      <c r="P74" s="47"/>
      <c r="Q74" s="47"/>
    </row>
    <row r="75" spans="1:20" x14ac:dyDescent="0.2">
      <c r="A75" s="89" t="s">
        <v>11</v>
      </c>
      <c r="B75" s="46">
        <v>0</v>
      </c>
      <c r="C75" s="46">
        <v>109545.11</v>
      </c>
      <c r="D75" s="89"/>
      <c r="E75" s="46"/>
      <c r="H75" s="89"/>
      <c r="I75" s="89"/>
      <c r="J75" s="89"/>
      <c r="K75" s="89"/>
      <c r="L75" s="89"/>
      <c r="M75" s="47"/>
      <c r="N75" s="115"/>
      <c r="O75" s="116"/>
      <c r="P75" s="47"/>
      <c r="Q75" s="47"/>
    </row>
    <row r="76" spans="1:20" x14ac:dyDescent="0.2">
      <c r="B76" s="46"/>
      <c r="E76" s="46"/>
      <c r="H76" s="89"/>
      <c r="I76" s="89"/>
      <c r="J76" s="89"/>
      <c r="K76" s="89"/>
      <c r="L76" s="89"/>
      <c r="M76" s="47"/>
      <c r="N76" s="115"/>
      <c r="O76" s="116"/>
      <c r="P76" s="47"/>
      <c r="Q76" s="47"/>
    </row>
    <row r="77" spans="1:20" x14ac:dyDescent="0.2">
      <c r="B77" s="46"/>
      <c r="E77" s="46"/>
      <c r="P77" s="47"/>
      <c r="Q77" s="47"/>
    </row>
    <row r="78" spans="1:20" x14ac:dyDescent="0.2">
      <c r="B78" s="46"/>
      <c r="E78" s="46"/>
      <c r="P78" s="47"/>
      <c r="Q78" s="47"/>
    </row>
    <row r="79" spans="1:20" ht="12.75" customHeight="1" x14ac:dyDescent="0.2">
      <c r="C79" s="121"/>
      <c r="D79" s="121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</row>
    <row r="80" spans="1:20" x14ac:dyDescent="0.2">
      <c r="E80" s="46"/>
      <c r="P80" s="47"/>
      <c r="Q80" s="47"/>
      <c r="S80" s="47"/>
      <c r="T80" s="47"/>
    </row>
    <row r="81" spans="2:17" x14ac:dyDescent="0.2">
      <c r="E81" s="46"/>
      <c r="P81" s="47"/>
      <c r="Q81" s="47"/>
    </row>
    <row r="82" spans="2:17" x14ac:dyDescent="0.2">
      <c r="B82" s="46"/>
      <c r="E82" s="46"/>
      <c r="P82" s="47"/>
      <c r="Q82" s="47"/>
    </row>
    <row r="83" spans="2:17" x14ac:dyDescent="0.2">
      <c r="B83" s="46"/>
      <c r="E83" s="46"/>
      <c r="P83" s="47"/>
      <c r="Q83" s="47"/>
    </row>
    <row r="84" spans="2:17" x14ac:dyDescent="0.2">
      <c r="E84" s="46"/>
      <c r="P84" s="47"/>
      <c r="Q84" s="47"/>
    </row>
    <row r="85" spans="2:17" x14ac:dyDescent="0.2">
      <c r="E85" s="46"/>
      <c r="P85" s="47"/>
      <c r="Q85" s="47"/>
    </row>
    <row r="86" spans="2:17" x14ac:dyDescent="0.2">
      <c r="E86" s="46"/>
      <c r="P86" s="47"/>
      <c r="Q86" s="47"/>
    </row>
    <row r="87" spans="2:17" x14ac:dyDescent="0.2">
      <c r="E87" s="46"/>
      <c r="P87" s="47"/>
      <c r="Q87" s="47"/>
    </row>
    <row r="88" spans="2:17" x14ac:dyDescent="0.2">
      <c r="E88" s="46"/>
      <c r="Q88" s="47"/>
    </row>
    <row r="89" spans="2:17" x14ac:dyDescent="0.2">
      <c r="E89" s="46"/>
      <c r="Q89" s="47"/>
    </row>
    <row r="90" spans="2:17" x14ac:dyDescent="0.2">
      <c r="E90" s="46"/>
      <c r="Q90" s="47"/>
    </row>
    <row r="91" spans="2:17" x14ac:dyDescent="0.2">
      <c r="E91" s="46"/>
      <c r="Q91" s="47"/>
    </row>
    <row r="92" spans="2:17" x14ac:dyDescent="0.2">
      <c r="E92" s="46"/>
      <c r="Q92" s="47"/>
    </row>
    <row r="93" spans="2:17" x14ac:dyDescent="0.2">
      <c r="E93" s="46"/>
      <c r="Q93" s="47"/>
    </row>
    <row r="94" spans="2:17" x14ac:dyDescent="0.2">
      <c r="E94" s="46"/>
      <c r="Q94" s="47"/>
    </row>
    <row r="95" spans="2:17" x14ac:dyDescent="0.2">
      <c r="E95" s="46"/>
      <c r="Q95" s="47"/>
    </row>
    <row r="96" spans="2:17" x14ac:dyDescent="0.2">
      <c r="E96" s="46"/>
      <c r="Q96" s="47"/>
    </row>
    <row r="97" spans="5:17" x14ac:dyDescent="0.2">
      <c r="E97" s="46"/>
      <c r="Q97" s="47"/>
    </row>
    <row r="98" spans="5:17" x14ac:dyDescent="0.2">
      <c r="E98" s="46"/>
      <c r="Q98" s="47"/>
    </row>
    <row r="99" spans="5:17" x14ac:dyDescent="0.2">
      <c r="E99" s="46"/>
      <c r="Q99" s="47"/>
    </row>
  </sheetData>
  <mergeCells count="8">
    <mergeCell ref="B58:E58"/>
    <mergeCell ref="B59:E59"/>
    <mergeCell ref="C52:D52"/>
    <mergeCell ref="A1:G1"/>
    <mergeCell ref="A3:G3"/>
    <mergeCell ref="B28:F28"/>
    <mergeCell ref="B30:F30"/>
    <mergeCell ref="A38:F38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V106"/>
  <sheetViews>
    <sheetView workbookViewId="0">
      <selection sqref="A1:I1"/>
    </sheetView>
  </sheetViews>
  <sheetFormatPr defaultRowHeight="15" x14ac:dyDescent="0.25"/>
  <cols>
    <col min="1" max="1" width="51.7109375" style="1" customWidth="1"/>
    <col min="2" max="3" width="15.42578125" style="28" bestFit="1" customWidth="1"/>
    <col min="4" max="4" width="13.85546875" style="28" customWidth="1"/>
    <col min="5" max="5" width="14.7109375" style="28" bestFit="1" customWidth="1"/>
    <col min="6" max="6" width="16.85546875" style="28" customWidth="1"/>
    <col min="7" max="7" width="14.7109375" style="28" bestFit="1" customWidth="1"/>
    <col min="8" max="8" width="15.7109375" style="28" customWidth="1"/>
    <col min="9" max="9" width="13.5703125" style="1" customWidth="1"/>
    <col min="10" max="10" width="2.42578125" style="1" customWidth="1"/>
    <col min="11" max="11" width="25.7109375" style="1" bestFit="1" customWidth="1"/>
    <col min="12" max="13" width="14.5703125" style="127" bestFit="1" customWidth="1"/>
    <col min="14" max="15" width="14.140625" style="127" customWidth="1"/>
    <col min="16" max="16" width="13.7109375" style="127" customWidth="1"/>
    <col min="17" max="19" width="9.140625" style="1"/>
    <col min="20" max="21" width="12.42578125" style="1" bestFit="1" customWidth="1"/>
    <col min="22" max="16384" width="9.140625" style="1"/>
  </cols>
  <sheetData>
    <row r="1" spans="1:22" x14ac:dyDescent="0.25">
      <c r="A1" s="148" t="s">
        <v>0</v>
      </c>
      <c r="B1" s="148"/>
      <c r="C1" s="148"/>
      <c r="D1" s="148"/>
      <c r="E1" s="148"/>
      <c r="F1" s="148"/>
      <c r="G1" s="148"/>
      <c r="H1" s="148"/>
      <c r="I1" s="148"/>
    </row>
    <row r="2" spans="1:22" ht="18.75" x14ac:dyDescent="0.3">
      <c r="A2" s="149" t="s">
        <v>78</v>
      </c>
      <c r="B2" s="149"/>
      <c r="C2" s="149"/>
      <c r="D2" s="149"/>
      <c r="E2" s="149"/>
      <c r="F2" s="149"/>
      <c r="G2" s="149"/>
      <c r="H2" s="149"/>
      <c r="I2" s="149"/>
    </row>
    <row r="3" spans="1:22" x14ac:dyDescent="0.25">
      <c r="A3" s="148" t="s">
        <v>1</v>
      </c>
      <c r="B3" s="148"/>
      <c r="C3" s="148"/>
      <c r="D3" s="148"/>
      <c r="E3" s="148"/>
      <c r="F3" s="148"/>
      <c r="G3" s="148"/>
      <c r="H3" s="148"/>
      <c r="I3" s="148"/>
    </row>
    <row r="4" spans="1:22" x14ac:dyDescent="0.25">
      <c r="A4" s="150">
        <v>45657</v>
      </c>
      <c r="B4" s="150"/>
      <c r="C4" s="150"/>
      <c r="D4" s="150"/>
      <c r="E4" s="150"/>
      <c r="F4" s="150"/>
      <c r="G4" s="150"/>
      <c r="H4" s="150"/>
      <c r="I4" s="150"/>
    </row>
    <row r="5" spans="1:22" x14ac:dyDescent="0.25">
      <c r="A5" s="148" t="s">
        <v>2</v>
      </c>
      <c r="B5" s="148"/>
      <c r="C5" s="148"/>
      <c r="D5" s="148"/>
      <c r="E5" s="148"/>
      <c r="F5" s="148"/>
      <c r="G5" s="148"/>
      <c r="H5" s="148"/>
      <c r="I5" s="148"/>
    </row>
    <row r="6" spans="1:22" ht="15.75" thickBot="1" x14ac:dyDescent="0.3">
      <c r="A6" s="148"/>
      <c r="B6" s="148"/>
      <c r="C6" s="148"/>
      <c r="D6" s="148"/>
      <c r="E6" s="148"/>
      <c r="F6" s="148"/>
      <c r="G6" s="148"/>
      <c r="H6" s="148"/>
      <c r="I6" s="148"/>
    </row>
    <row r="7" spans="1:22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L7" s="128"/>
      <c r="M7" s="128"/>
      <c r="N7" s="128"/>
      <c r="O7" s="128"/>
      <c r="P7" s="128"/>
    </row>
    <row r="8" spans="1:22" s="5" customFormat="1" x14ac:dyDescent="0.2">
      <c r="A8" s="6" t="s">
        <v>8</v>
      </c>
      <c r="B8" s="7">
        <v>217465.57</v>
      </c>
      <c r="C8" s="7">
        <v>8572275.3200000003</v>
      </c>
      <c r="D8" s="7">
        <v>1530938.5600000003</v>
      </c>
      <c r="E8" s="7">
        <v>8752862.7300000004</v>
      </c>
      <c r="F8" s="7">
        <v>0</v>
      </c>
      <c r="G8" s="7">
        <f t="shared" ref="G8:G12" si="0">SUM(E8:F8)</f>
        <v>8752862.7300000004</v>
      </c>
      <c r="H8" s="7">
        <f t="shared" ref="H8:H12" si="1">C8-G8</f>
        <v>-180587.41000000015</v>
      </c>
      <c r="I8" s="37">
        <f>IF(C8=0,"NA",H8/C8)</f>
        <v>-2.1066450068241642E-2</v>
      </c>
      <c r="K8"/>
      <c r="L8" s="136"/>
      <c r="M8" s="136"/>
      <c r="N8" s="136"/>
      <c r="O8" s="136"/>
      <c r="P8" s="136"/>
      <c r="R8" s="128"/>
      <c r="S8" s="128"/>
      <c r="T8" s="128"/>
      <c r="U8" s="128"/>
      <c r="V8" s="128"/>
    </row>
    <row r="9" spans="1:22" s="5" customFormat="1" x14ac:dyDescent="0.2">
      <c r="A9" s="6" t="s">
        <v>9</v>
      </c>
      <c r="B9" s="7">
        <v>0</v>
      </c>
      <c r="C9" s="7">
        <v>0</v>
      </c>
      <c r="D9" s="7">
        <v>1228.6400000000001</v>
      </c>
      <c r="E9" s="7">
        <v>7919.67</v>
      </c>
      <c r="F9" s="7">
        <v>0</v>
      </c>
      <c r="G9" s="7">
        <f t="shared" si="0"/>
        <v>7919.67</v>
      </c>
      <c r="H9" s="7">
        <f t="shared" si="1"/>
        <v>-7919.67</v>
      </c>
      <c r="I9" s="37" t="str">
        <f>IF(C9=0,"NA",H9/C9)</f>
        <v>NA</v>
      </c>
      <c r="K9"/>
      <c r="L9" s="136"/>
      <c r="M9" s="136"/>
      <c r="N9" s="136"/>
      <c r="O9" s="136"/>
      <c r="P9" s="136"/>
      <c r="R9" s="128"/>
      <c r="S9" s="128"/>
      <c r="T9" s="128"/>
      <c r="U9" s="128"/>
      <c r="V9" s="128"/>
    </row>
    <row r="10" spans="1:22" s="5" customFormat="1" x14ac:dyDescent="0.2">
      <c r="A10" s="6" t="s">
        <v>10</v>
      </c>
      <c r="B10" s="7">
        <v>0</v>
      </c>
      <c r="C10" s="7">
        <v>19272572.189999998</v>
      </c>
      <c r="D10" s="7">
        <v>1393566.82</v>
      </c>
      <c r="E10" s="7">
        <v>8343010.5099999998</v>
      </c>
      <c r="F10" s="7">
        <v>0</v>
      </c>
      <c r="G10" s="7">
        <f t="shared" si="0"/>
        <v>8343010.5099999998</v>
      </c>
      <c r="H10" s="7">
        <f t="shared" si="1"/>
        <v>10929561.679999998</v>
      </c>
      <c r="I10" s="37">
        <f>IF(C10=0,"NA",H10/C10)</f>
        <v>0.56710446183571928</v>
      </c>
      <c r="K10"/>
      <c r="L10" s="136"/>
      <c r="M10" s="136"/>
      <c r="N10" s="136"/>
      <c r="O10" s="136"/>
      <c r="P10" s="136"/>
      <c r="R10" s="128"/>
      <c r="S10" s="128"/>
      <c r="T10" s="128"/>
      <c r="U10" s="128"/>
      <c r="V10" s="128"/>
    </row>
    <row r="11" spans="1:22" s="5" customFormat="1" x14ac:dyDescent="0.2">
      <c r="A11" s="6" t="s">
        <v>74</v>
      </c>
      <c r="B11" s="7">
        <v>347152928</v>
      </c>
      <c r="C11" s="7">
        <v>661636037.25</v>
      </c>
      <c r="D11" s="7">
        <v>54318.79</v>
      </c>
      <c r="E11" s="7">
        <v>10069983.119999999</v>
      </c>
      <c r="F11" s="7">
        <v>0</v>
      </c>
      <c r="G11" s="7">
        <f t="shared" si="0"/>
        <v>10069983.119999999</v>
      </c>
      <c r="H11" s="7">
        <f t="shared" si="1"/>
        <v>651566054.13</v>
      </c>
      <c r="I11" s="37">
        <f>IF(C11=0,"NA",H11/C11)</f>
        <v>0.98478017738898482</v>
      </c>
      <c r="K11"/>
      <c r="L11" s="136"/>
      <c r="M11" s="136"/>
      <c r="N11" s="136"/>
      <c r="O11" s="136"/>
      <c r="P11" s="136"/>
      <c r="R11" s="128"/>
      <c r="S11" s="128"/>
      <c r="T11" s="128"/>
      <c r="U11" s="128"/>
      <c r="V11" s="128"/>
    </row>
    <row r="12" spans="1:22" s="5" customFormat="1" x14ac:dyDescent="0.2">
      <c r="A12" s="8" t="s">
        <v>11</v>
      </c>
      <c r="B12" s="7">
        <v>4424000</v>
      </c>
      <c r="C12" s="7">
        <v>4676221.3600000003</v>
      </c>
      <c r="D12" s="7">
        <v>51004.7</v>
      </c>
      <c r="E12" s="7">
        <v>1161392.6499999999</v>
      </c>
      <c r="F12" s="7">
        <v>0</v>
      </c>
      <c r="G12" s="7">
        <f t="shared" si="0"/>
        <v>1161392.6499999999</v>
      </c>
      <c r="H12" s="7">
        <f t="shared" si="1"/>
        <v>3514828.7100000004</v>
      </c>
      <c r="I12" s="37">
        <f>IF(C12=0,"NA",H12/C12)</f>
        <v>0.75163864997186536</v>
      </c>
      <c r="K12" s="136"/>
      <c r="L12" s="136"/>
      <c r="M12" s="136"/>
      <c r="N12" s="136"/>
      <c r="O12" s="136"/>
      <c r="P12" s="136"/>
      <c r="R12" s="128"/>
      <c r="S12" s="128"/>
      <c r="T12" s="128"/>
      <c r="U12" s="128"/>
      <c r="V12" s="128"/>
    </row>
    <row r="13" spans="1:22" s="5" customFormat="1" ht="24.95" customHeight="1" x14ac:dyDescent="0.25">
      <c r="A13" s="10" t="s">
        <v>12</v>
      </c>
      <c r="B13" s="11">
        <f>SUM(B8:B12)</f>
        <v>351794393.56999999</v>
      </c>
      <c r="C13" s="11">
        <f t="shared" ref="C13:H13" si="2">SUM(C8:C12)</f>
        <v>694157106.12</v>
      </c>
      <c r="D13" s="11">
        <f t="shared" si="2"/>
        <v>3031057.5100000007</v>
      </c>
      <c r="E13" s="11">
        <f t="shared" si="2"/>
        <v>28335168.68</v>
      </c>
      <c r="F13" s="11">
        <f t="shared" si="2"/>
        <v>0</v>
      </c>
      <c r="G13" s="11">
        <f t="shared" si="2"/>
        <v>28335168.68</v>
      </c>
      <c r="H13" s="11">
        <f t="shared" si="2"/>
        <v>665821937.44000006</v>
      </c>
      <c r="I13" s="34">
        <f>IF(C13=0,"",H13/C13)</f>
        <v>0.95918046731757922</v>
      </c>
      <c r="L13" s="1"/>
      <c r="M13" s="1"/>
      <c r="N13" s="1"/>
      <c r="O13" s="1"/>
      <c r="P13" s="1"/>
      <c r="Q13" s="1"/>
      <c r="R13" s="1"/>
      <c r="S13" s="1"/>
    </row>
    <row r="14" spans="1:22" s="5" customFormat="1" x14ac:dyDescent="0.2">
      <c r="A14" s="12" t="s">
        <v>13</v>
      </c>
      <c r="B14" s="13">
        <v>72727101.38000001</v>
      </c>
      <c r="C14" s="13">
        <v>264085339.44</v>
      </c>
      <c r="D14" s="13">
        <v>5491717.3600000115</v>
      </c>
      <c r="E14" s="13">
        <v>70622189.049999893</v>
      </c>
      <c r="F14" s="13">
        <v>2336681.9200000013</v>
      </c>
      <c r="G14" s="13">
        <f t="shared" ref="G14:G32" si="3">SUM(E14:F14)</f>
        <v>72958870.969999894</v>
      </c>
      <c r="H14" s="13">
        <f t="shared" ref="H14:H32" si="4">C14-G14</f>
        <v>191126468.47000009</v>
      </c>
      <c r="I14" s="35">
        <f>IF(C14=0,"NA",H14/C14)</f>
        <v>0.72372994606701324</v>
      </c>
      <c r="L14" s="128"/>
      <c r="M14" s="128"/>
      <c r="N14" s="128"/>
      <c r="O14" s="128"/>
      <c r="P14" s="128"/>
      <c r="R14" s="128"/>
      <c r="S14" s="128"/>
      <c r="T14" s="128"/>
      <c r="U14" s="128"/>
      <c r="V14" s="128"/>
    </row>
    <row r="15" spans="1:22" s="5" customFormat="1" x14ac:dyDescent="0.2">
      <c r="A15" s="6" t="s">
        <v>14</v>
      </c>
      <c r="B15" s="7">
        <v>28736583.819999997</v>
      </c>
      <c r="C15" s="7">
        <v>68889875.26000005</v>
      </c>
      <c r="D15" s="7">
        <v>2689945.4899999993</v>
      </c>
      <c r="E15" s="7">
        <v>17135886.489999987</v>
      </c>
      <c r="F15" s="7">
        <v>271143.22000000003</v>
      </c>
      <c r="G15" s="7">
        <f t="shared" si="3"/>
        <v>17407029.709999986</v>
      </c>
      <c r="H15" s="7">
        <f t="shared" si="4"/>
        <v>51482845.550000064</v>
      </c>
      <c r="I15" s="37">
        <f t="shared" ref="I15:I32" si="5">IF(C15=0,"NA",H15/C15)</f>
        <v>0.74732092859359356</v>
      </c>
      <c r="L15" s="128"/>
      <c r="M15" s="128"/>
      <c r="N15" s="128"/>
      <c r="O15" s="128"/>
      <c r="P15" s="128"/>
      <c r="R15" s="128"/>
      <c r="S15" s="128"/>
      <c r="T15" s="128"/>
      <c r="U15" s="128"/>
      <c r="V15" s="128"/>
    </row>
    <row r="16" spans="1:22" s="5" customFormat="1" x14ac:dyDescent="0.2">
      <c r="A16" s="6" t="s">
        <v>15</v>
      </c>
      <c r="B16" s="7">
        <v>26155377.620000001</v>
      </c>
      <c r="C16" s="7">
        <v>7267612.8399999784</v>
      </c>
      <c r="D16" s="7">
        <v>868930.17</v>
      </c>
      <c r="E16" s="7">
        <v>2045154.0999999999</v>
      </c>
      <c r="F16" s="7">
        <v>203360.65999999989</v>
      </c>
      <c r="G16" s="7">
        <f t="shared" si="3"/>
        <v>2248514.7599999998</v>
      </c>
      <c r="H16" s="7">
        <f t="shared" si="4"/>
        <v>5019098.0799999787</v>
      </c>
      <c r="I16" s="37">
        <f t="shared" si="5"/>
        <v>0.6906116479369302</v>
      </c>
      <c r="L16" s="128"/>
      <c r="M16" s="128"/>
      <c r="N16" s="128"/>
      <c r="O16" s="128"/>
      <c r="P16" s="128"/>
      <c r="R16" s="128"/>
      <c r="S16" s="128"/>
      <c r="T16" s="128"/>
      <c r="U16" s="128"/>
      <c r="V16" s="128"/>
    </row>
    <row r="17" spans="1:22" s="5" customFormat="1" x14ac:dyDescent="0.2">
      <c r="A17" s="6" t="s">
        <v>16</v>
      </c>
      <c r="B17" s="7">
        <v>28687655.690000001</v>
      </c>
      <c r="C17" s="7">
        <v>60897324.180000044</v>
      </c>
      <c r="D17" s="7">
        <v>2160123.049999998</v>
      </c>
      <c r="E17" s="7">
        <v>13350198.31000001</v>
      </c>
      <c r="F17" s="7">
        <v>165099.99000000002</v>
      </c>
      <c r="G17" s="7">
        <f t="shared" si="3"/>
        <v>13515298.30000001</v>
      </c>
      <c r="H17" s="7">
        <f t="shared" si="4"/>
        <v>47382025.880000032</v>
      </c>
      <c r="I17" s="37">
        <f t="shared" si="5"/>
        <v>0.77806416813895551</v>
      </c>
      <c r="L17" s="128"/>
      <c r="M17" s="128"/>
      <c r="N17" s="128"/>
      <c r="O17" s="128"/>
      <c r="P17" s="128"/>
      <c r="R17" s="128"/>
      <c r="S17" s="128"/>
      <c r="T17" s="128"/>
      <c r="U17" s="128"/>
      <c r="V17" s="128"/>
    </row>
    <row r="18" spans="1:22" s="5" customFormat="1" x14ac:dyDescent="0.2">
      <c r="A18" s="6" t="s">
        <v>17</v>
      </c>
      <c r="B18" s="7">
        <v>2874200</v>
      </c>
      <c r="C18" s="7">
        <v>3160720.8</v>
      </c>
      <c r="D18" s="7">
        <v>147.66</v>
      </c>
      <c r="E18" s="7">
        <v>433846.16000000003</v>
      </c>
      <c r="F18" s="7">
        <v>0</v>
      </c>
      <c r="G18" s="7">
        <f t="shared" si="3"/>
        <v>433846.16000000003</v>
      </c>
      <c r="H18" s="7">
        <f t="shared" si="4"/>
        <v>2726874.6399999997</v>
      </c>
      <c r="I18" s="37">
        <f t="shared" si="5"/>
        <v>0.86273822097794906</v>
      </c>
      <c r="L18" s="128"/>
      <c r="M18" s="128"/>
      <c r="N18" s="128"/>
      <c r="O18" s="128"/>
      <c r="P18" s="128"/>
      <c r="R18" s="128"/>
      <c r="S18" s="128"/>
      <c r="T18" s="128"/>
      <c r="U18" s="128"/>
      <c r="V18" s="128"/>
    </row>
    <row r="19" spans="1:22" s="5" customFormat="1" x14ac:dyDescent="0.2">
      <c r="A19" s="6" t="s">
        <v>71</v>
      </c>
      <c r="B19" s="7">
        <v>-4405990</v>
      </c>
      <c r="C19" s="7">
        <v>6018814.5000000019</v>
      </c>
      <c r="D19" s="7">
        <v>391630.71</v>
      </c>
      <c r="E19" s="7">
        <v>2312997.4399999995</v>
      </c>
      <c r="F19" s="7">
        <v>11447.92</v>
      </c>
      <c r="G19" s="7">
        <f>SUM(E19:F19)</f>
        <v>2324445.3599999994</v>
      </c>
      <c r="H19" s="7">
        <f>C19-G19</f>
        <v>3694369.1400000025</v>
      </c>
      <c r="I19" s="37">
        <f t="shared" si="5"/>
        <v>0.61380345581343321</v>
      </c>
      <c r="L19" s="128"/>
      <c r="M19" s="128"/>
      <c r="N19" s="128"/>
      <c r="O19" s="128"/>
      <c r="P19" s="128"/>
      <c r="R19" s="128"/>
      <c r="S19" s="128"/>
      <c r="T19" s="128"/>
      <c r="U19" s="128"/>
      <c r="V19" s="128"/>
    </row>
    <row r="20" spans="1:22" s="5" customFormat="1" x14ac:dyDescent="0.2">
      <c r="A20" s="6" t="s">
        <v>18</v>
      </c>
      <c r="B20" s="7">
        <v>51356965.159999996</v>
      </c>
      <c r="C20" s="7">
        <v>57883932.040000029</v>
      </c>
      <c r="D20" s="7">
        <v>136809.52000000002</v>
      </c>
      <c r="E20" s="7">
        <v>1092419.1399999999</v>
      </c>
      <c r="F20" s="7">
        <v>3373.5499999999997</v>
      </c>
      <c r="G20" s="7">
        <f t="shared" si="3"/>
        <v>1095792.69</v>
      </c>
      <c r="H20" s="7">
        <f t="shared" si="4"/>
        <v>56788139.350000031</v>
      </c>
      <c r="I20" s="37">
        <f t="shared" si="5"/>
        <v>0.98106913868182344</v>
      </c>
      <c r="L20" s="128"/>
      <c r="M20" s="128"/>
      <c r="N20" s="128"/>
      <c r="O20" s="128"/>
      <c r="P20" s="128"/>
      <c r="R20" s="128"/>
      <c r="S20" s="128"/>
      <c r="T20" s="128"/>
      <c r="U20" s="128"/>
      <c r="V20" s="128"/>
    </row>
    <row r="21" spans="1:22" s="5" customFormat="1" x14ac:dyDescent="0.2">
      <c r="A21" s="6" t="s">
        <v>19</v>
      </c>
      <c r="B21" s="7">
        <v>27758634</v>
      </c>
      <c r="C21" s="7">
        <v>9874078.9400000069</v>
      </c>
      <c r="D21" s="7">
        <v>63533.660000000011</v>
      </c>
      <c r="E21" s="7">
        <v>1516530.4800000002</v>
      </c>
      <c r="F21" s="7">
        <v>0</v>
      </c>
      <c r="G21" s="7">
        <f t="shared" si="3"/>
        <v>1516530.4800000002</v>
      </c>
      <c r="H21" s="7">
        <f t="shared" si="4"/>
        <v>8357548.4600000065</v>
      </c>
      <c r="I21" s="37">
        <f t="shared" si="5"/>
        <v>0.84641296781044373</v>
      </c>
      <c r="L21" s="128"/>
      <c r="M21" s="128"/>
      <c r="N21" s="128"/>
      <c r="O21" s="128"/>
      <c r="P21" s="128"/>
      <c r="R21" s="128"/>
      <c r="S21" s="128"/>
      <c r="T21" s="128"/>
      <c r="U21" s="128"/>
      <c r="V21" s="128"/>
    </row>
    <row r="22" spans="1:22" s="5" customFormat="1" x14ac:dyDescent="0.2">
      <c r="A22" s="6" t="s">
        <v>20</v>
      </c>
      <c r="B22" s="7">
        <v>26109645</v>
      </c>
      <c r="C22" s="7">
        <v>866676.90000000014</v>
      </c>
      <c r="D22" s="7">
        <v>21292.010000000002</v>
      </c>
      <c r="E22" s="7">
        <v>378670.95999999996</v>
      </c>
      <c r="F22" s="7">
        <v>866.41</v>
      </c>
      <c r="G22" s="7">
        <f t="shared" si="3"/>
        <v>379537.36999999994</v>
      </c>
      <c r="H22" s="7">
        <f t="shared" si="4"/>
        <v>487139.5300000002</v>
      </c>
      <c r="I22" s="37">
        <f t="shared" si="5"/>
        <v>0.56207743623950301</v>
      </c>
      <c r="L22" s="128"/>
      <c r="M22" s="128"/>
      <c r="N22" s="128"/>
      <c r="O22" s="128"/>
      <c r="P22" s="128"/>
      <c r="R22" s="128"/>
      <c r="S22" s="128"/>
      <c r="T22" s="128"/>
      <c r="U22" s="128"/>
      <c r="V22" s="128"/>
    </row>
    <row r="23" spans="1:22" s="5" customFormat="1" x14ac:dyDescent="0.2">
      <c r="A23" s="6" t="s">
        <v>70</v>
      </c>
      <c r="B23" s="7">
        <v>75326489.599999994</v>
      </c>
      <c r="C23" s="7">
        <v>64902051.780000009</v>
      </c>
      <c r="D23" s="7">
        <v>8178.66</v>
      </c>
      <c r="E23" s="7">
        <v>5467391.8599999994</v>
      </c>
      <c r="F23" s="7">
        <v>25995.62</v>
      </c>
      <c r="G23" s="7">
        <f t="shared" si="3"/>
        <v>5493387.4799999995</v>
      </c>
      <c r="H23" s="7">
        <f t="shared" si="4"/>
        <v>59408664.300000012</v>
      </c>
      <c r="I23" s="37">
        <f t="shared" si="5"/>
        <v>0.91535880100337874</v>
      </c>
      <c r="L23" s="128"/>
      <c r="M23" s="128"/>
      <c r="N23" s="128"/>
      <c r="O23" s="128"/>
      <c r="P23" s="128"/>
      <c r="R23" s="128"/>
      <c r="S23" s="128"/>
      <c r="T23" s="128"/>
      <c r="U23" s="128"/>
      <c r="V23" s="128"/>
    </row>
    <row r="24" spans="1:22" s="5" customFormat="1" x14ac:dyDescent="0.2">
      <c r="A24" s="6" t="s">
        <v>76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f t="shared" ref="G24" si="6">SUM(E24:F24)</f>
        <v>0</v>
      </c>
      <c r="H24" s="7">
        <f t="shared" ref="H24" si="7">C24-G24</f>
        <v>0</v>
      </c>
      <c r="I24" s="37" t="str">
        <f t="shared" ref="I24" si="8">IF(C24=0,"NA",H24/C24)</f>
        <v>NA</v>
      </c>
      <c r="L24" s="128"/>
      <c r="M24" s="128"/>
      <c r="N24" s="128"/>
      <c r="O24" s="128"/>
      <c r="P24" s="128"/>
      <c r="R24" s="128"/>
      <c r="S24" s="128"/>
      <c r="T24" s="128"/>
      <c r="U24" s="128"/>
      <c r="V24" s="128"/>
    </row>
    <row r="25" spans="1:22" s="5" customFormat="1" x14ac:dyDescent="0.2">
      <c r="A25" s="6" t="s">
        <v>21</v>
      </c>
      <c r="B25" s="7">
        <v>27445095</v>
      </c>
      <c r="C25" s="7">
        <v>30839776.559999999</v>
      </c>
      <c r="D25" s="7">
        <v>0</v>
      </c>
      <c r="E25" s="7">
        <v>2217488.58</v>
      </c>
      <c r="F25" s="7">
        <v>318</v>
      </c>
      <c r="G25" s="7">
        <f t="shared" si="3"/>
        <v>2217806.58</v>
      </c>
      <c r="H25" s="7">
        <f t="shared" si="4"/>
        <v>28621969.979999997</v>
      </c>
      <c r="I25" s="37">
        <f t="shared" si="5"/>
        <v>0.9280861657449051</v>
      </c>
      <c r="L25" s="128"/>
      <c r="M25" s="128"/>
      <c r="N25" s="128"/>
      <c r="O25" s="128"/>
      <c r="P25" s="128"/>
      <c r="R25" s="128"/>
      <c r="S25" s="128"/>
      <c r="T25" s="128"/>
      <c r="U25" s="128"/>
      <c r="V25" s="128"/>
    </row>
    <row r="26" spans="1:22" s="5" customFormat="1" x14ac:dyDescent="0.2">
      <c r="A26" s="6" t="s">
        <v>22</v>
      </c>
      <c r="B26" s="7">
        <v>80181514.729999989</v>
      </c>
      <c r="C26" s="7">
        <v>7756276.1000000043</v>
      </c>
      <c r="D26" s="7">
        <v>10966.23</v>
      </c>
      <c r="E26" s="7">
        <v>1200994.98</v>
      </c>
      <c r="F26" s="7">
        <v>8446.7000000000007</v>
      </c>
      <c r="G26" s="7">
        <f t="shared" si="3"/>
        <v>1209441.68</v>
      </c>
      <c r="H26" s="7">
        <f t="shared" si="4"/>
        <v>6546834.4200000046</v>
      </c>
      <c r="I26" s="37">
        <f t="shared" si="5"/>
        <v>0.84406928474348675</v>
      </c>
      <c r="L26" s="128"/>
      <c r="M26" s="128"/>
      <c r="N26" s="128"/>
      <c r="O26" s="128"/>
      <c r="P26" s="128"/>
      <c r="R26" s="128"/>
      <c r="S26" s="128"/>
      <c r="T26" s="128"/>
      <c r="U26" s="128"/>
      <c r="V26" s="128"/>
    </row>
    <row r="27" spans="1:22" s="5" customFormat="1" x14ac:dyDescent="0.2">
      <c r="A27" s="6" t="s">
        <v>23</v>
      </c>
      <c r="B27" s="7">
        <v>0</v>
      </c>
      <c r="C27" s="7">
        <v>429786.67</v>
      </c>
      <c r="D27" s="7">
        <v>23652.210000000003</v>
      </c>
      <c r="E27" s="7">
        <v>322385.92999999993</v>
      </c>
      <c r="F27" s="7">
        <v>1369.6</v>
      </c>
      <c r="G27" s="7">
        <f t="shared" si="3"/>
        <v>323755.52999999991</v>
      </c>
      <c r="H27" s="7">
        <f t="shared" si="4"/>
        <v>106031.14000000007</v>
      </c>
      <c r="I27" s="37">
        <f t="shared" si="5"/>
        <v>0.24670644159345398</v>
      </c>
      <c r="L27" s="128"/>
      <c r="M27" s="128"/>
      <c r="N27" s="128"/>
      <c r="O27" s="128"/>
      <c r="P27" s="128"/>
      <c r="R27" s="128"/>
      <c r="S27" s="128"/>
      <c r="T27" s="128"/>
      <c r="U27" s="128"/>
      <c r="V27" s="128"/>
    </row>
    <row r="28" spans="1:22" s="5" customFormat="1" x14ac:dyDescent="0.2">
      <c r="A28" s="6" t="s">
        <v>29</v>
      </c>
      <c r="B28" s="7">
        <v>53744641</v>
      </c>
      <c r="C28" s="7">
        <v>23104003.510000005</v>
      </c>
      <c r="D28" s="7">
        <v>0</v>
      </c>
      <c r="E28" s="7">
        <v>1190292.49</v>
      </c>
      <c r="F28" s="7">
        <v>0</v>
      </c>
      <c r="G28" s="7">
        <f t="shared" si="3"/>
        <v>1190292.49</v>
      </c>
      <c r="H28" s="7">
        <f t="shared" si="4"/>
        <v>21913711.020000007</v>
      </c>
      <c r="I28" s="37">
        <f t="shared" si="5"/>
        <v>0.94848111542725444</v>
      </c>
      <c r="L28" s="128"/>
      <c r="M28" s="128"/>
      <c r="N28" s="128"/>
      <c r="O28" s="128"/>
      <c r="P28" s="128"/>
      <c r="R28" s="128"/>
      <c r="S28" s="128"/>
      <c r="T28" s="128"/>
      <c r="U28" s="128"/>
      <c r="V28" s="128"/>
    </row>
    <row r="29" spans="1:22" s="5" customFormat="1" x14ac:dyDescent="0.2">
      <c r="A29" s="6" t="s">
        <v>30</v>
      </c>
      <c r="B29" s="7">
        <v>4354000</v>
      </c>
      <c r="C29" s="7">
        <v>4354500</v>
      </c>
      <c r="D29" s="7">
        <v>285087.94999999995</v>
      </c>
      <c r="E29" s="7">
        <v>1489719.0799999998</v>
      </c>
      <c r="F29" s="7">
        <v>507651.39</v>
      </c>
      <c r="G29" s="7">
        <f t="shared" si="3"/>
        <v>1997370.4699999997</v>
      </c>
      <c r="H29" s="7">
        <f t="shared" si="4"/>
        <v>2357129.5300000003</v>
      </c>
      <c r="I29" s="37">
        <f t="shared" si="5"/>
        <v>0.54130888276495581</v>
      </c>
      <c r="L29" s="128"/>
      <c r="M29" s="128"/>
      <c r="N29" s="128"/>
      <c r="O29" s="128"/>
      <c r="P29" s="128"/>
      <c r="R29" s="128"/>
      <c r="S29" s="128"/>
      <c r="T29" s="128"/>
      <c r="U29" s="128"/>
      <c r="V29" s="128"/>
    </row>
    <row r="30" spans="1:22" s="5" customFormat="1" x14ac:dyDescent="0.2">
      <c r="A30" s="6" t="s">
        <v>72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f t="shared" ref="G30" si="9">SUM(E30:F30)</f>
        <v>0</v>
      </c>
      <c r="H30" s="7">
        <f t="shared" ref="H30" si="10">C30-G30</f>
        <v>0</v>
      </c>
      <c r="I30" s="37" t="str">
        <f t="shared" si="5"/>
        <v>NA</v>
      </c>
      <c r="L30" s="128"/>
      <c r="M30" s="128"/>
      <c r="N30" s="128"/>
      <c r="O30" s="128"/>
      <c r="P30" s="128"/>
      <c r="R30" s="128"/>
      <c r="S30" s="128"/>
      <c r="T30" s="128"/>
      <c r="U30" s="128"/>
      <c r="V30" s="128"/>
    </row>
    <row r="31" spans="1:22" s="5" customFormat="1" x14ac:dyDescent="0.2">
      <c r="A31" s="6" t="s">
        <v>73</v>
      </c>
      <c r="B31" s="7">
        <v>158786775.40000001</v>
      </c>
      <c r="C31" s="7">
        <v>89803056.319999978</v>
      </c>
      <c r="D31" s="7">
        <v>0</v>
      </c>
      <c r="E31" s="7">
        <v>20012107.039999999</v>
      </c>
      <c r="F31" s="7">
        <v>43980.24</v>
      </c>
      <c r="G31" s="7">
        <f t="shared" ref="G31" si="11">SUM(E31:F31)</f>
        <v>20056087.279999997</v>
      </c>
      <c r="H31" s="7">
        <f t="shared" ref="H31" si="12">C31-G31</f>
        <v>69746969.039999977</v>
      </c>
      <c r="I31" s="37">
        <f t="shared" si="5"/>
        <v>0.77666587194390035</v>
      </c>
      <c r="L31" s="128"/>
      <c r="M31" s="128"/>
      <c r="N31" s="128"/>
      <c r="O31" s="128"/>
      <c r="P31" s="128"/>
      <c r="R31" s="128"/>
      <c r="S31" s="128"/>
      <c r="T31" s="128"/>
      <c r="U31" s="128"/>
      <c r="V31" s="128"/>
    </row>
    <row r="32" spans="1:22" s="5" customFormat="1" x14ac:dyDescent="0.25">
      <c r="A32" s="6" t="s">
        <v>25</v>
      </c>
      <c r="B32" s="9">
        <v>0</v>
      </c>
      <c r="C32" s="9">
        <v>633100</v>
      </c>
      <c r="D32" s="9">
        <v>50244.7</v>
      </c>
      <c r="E32" s="9">
        <v>107324.10000000002</v>
      </c>
      <c r="F32" s="9">
        <v>0</v>
      </c>
      <c r="G32" s="9">
        <f t="shared" si="3"/>
        <v>107324.10000000002</v>
      </c>
      <c r="H32" s="9">
        <f t="shared" si="4"/>
        <v>525775.9</v>
      </c>
      <c r="I32" s="37">
        <f t="shared" si="5"/>
        <v>0.8304784394250514</v>
      </c>
      <c r="L32" s="1"/>
      <c r="M32" s="1"/>
      <c r="N32" s="1"/>
      <c r="O32" s="1"/>
      <c r="P32" s="1"/>
      <c r="Q32" s="1"/>
      <c r="R32" s="1"/>
      <c r="S32" s="1"/>
    </row>
    <row r="33" spans="1:19" s="5" customFormat="1" ht="24.95" customHeight="1" x14ac:dyDescent="0.25">
      <c r="A33" s="10" t="s">
        <v>26</v>
      </c>
      <c r="B33" s="11">
        <f t="shared" ref="B33:H33" si="13">SUM(B14:B32)</f>
        <v>659838688.39999998</v>
      </c>
      <c r="C33" s="11">
        <f t="shared" si="13"/>
        <v>700766925.83999991</v>
      </c>
      <c r="D33" s="11">
        <f t="shared" si="13"/>
        <v>12202259.380000008</v>
      </c>
      <c r="E33" s="11">
        <f t="shared" si="13"/>
        <v>140895596.18999985</v>
      </c>
      <c r="F33" s="11">
        <f t="shared" si="13"/>
        <v>3579735.2200000021</v>
      </c>
      <c r="G33" s="11">
        <f t="shared" si="13"/>
        <v>144475331.40999991</v>
      </c>
      <c r="H33" s="11">
        <f t="shared" si="13"/>
        <v>556291594.43000007</v>
      </c>
      <c r="I33" s="34">
        <f>IF(C33=0,"",H33/C33)</f>
        <v>0.79383254819450955</v>
      </c>
      <c r="L33" s="1"/>
      <c r="M33" s="1"/>
      <c r="N33" s="1"/>
      <c r="O33" s="1"/>
      <c r="P33" s="1"/>
      <c r="Q33" s="1"/>
      <c r="R33" s="1"/>
      <c r="S33" s="1"/>
    </row>
    <row r="34" spans="1:19" s="5" customFormat="1" x14ac:dyDescent="0.2">
      <c r="A34" s="12"/>
      <c r="B34" s="13"/>
      <c r="C34" s="13"/>
      <c r="D34" s="13"/>
      <c r="E34" s="13"/>
      <c r="F34" s="13"/>
      <c r="G34" s="13"/>
      <c r="H34" s="13"/>
      <c r="I34" s="15"/>
      <c r="L34" s="128"/>
      <c r="M34" s="128"/>
      <c r="N34" s="128"/>
      <c r="O34" s="128"/>
      <c r="P34" s="128"/>
    </row>
    <row r="35" spans="1:19" s="5" customFormat="1" ht="24.95" customHeight="1" x14ac:dyDescent="0.2">
      <c r="A35" s="6" t="s">
        <v>27</v>
      </c>
      <c r="B35" s="7">
        <f>B13-B33</f>
        <v>-308044294.82999998</v>
      </c>
      <c r="C35" s="7">
        <f>C13-C33</f>
        <v>-6609819.7199999094</v>
      </c>
      <c r="D35" s="7">
        <f>D13-D33</f>
        <v>-9171201.8700000085</v>
      </c>
      <c r="E35" s="7">
        <f>E13-E33</f>
        <v>-112560427.50999984</v>
      </c>
      <c r="F35" s="7"/>
      <c r="G35" s="7">
        <f>G13-G33</f>
        <v>-116140162.7299999</v>
      </c>
      <c r="H35" s="7">
        <f>H13-H33</f>
        <v>109530343.00999999</v>
      </c>
      <c r="I35" s="16"/>
      <c r="L35" s="128"/>
      <c r="M35" s="128"/>
      <c r="N35" s="128"/>
      <c r="O35" s="128"/>
      <c r="P35" s="128"/>
    </row>
    <row r="36" spans="1:19" s="5" customFormat="1" x14ac:dyDescent="0.2">
      <c r="A36" s="8"/>
      <c r="B36" s="9"/>
      <c r="C36" s="9"/>
      <c r="D36" s="9"/>
      <c r="E36" s="9"/>
      <c r="F36" s="9"/>
      <c r="G36" s="9"/>
      <c r="H36" s="9"/>
      <c r="I36" s="32"/>
      <c r="L36" s="128"/>
      <c r="M36" s="128"/>
      <c r="N36" s="128"/>
      <c r="O36" s="128"/>
      <c r="P36" s="128"/>
    </row>
    <row r="37" spans="1:19" s="5" customFormat="1" x14ac:dyDescent="0.2">
      <c r="A37" s="18" t="s">
        <v>67</v>
      </c>
      <c r="B37" s="20"/>
      <c r="C37" s="20"/>
      <c r="D37" s="20"/>
      <c r="E37" s="20">
        <v>0</v>
      </c>
      <c r="F37" s="20"/>
      <c r="G37" s="20">
        <f>E37</f>
        <v>0</v>
      </c>
      <c r="H37" s="20"/>
      <c r="I37" s="21"/>
      <c r="L37" s="128"/>
      <c r="M37" s="128"/>
      <c r="N37" s="128"/>
      <c r="O37" s="128"/>
      <c r="P37" s="128"/>
    </row>
    <row r="38" spans="1:19" s="5" customFormat="1" ht="15.75" thickBot="1" x14ac:dyDescent="0.25">
      <c r="A38" s="22" t="s">
        <v>28</v>
      </c>
      <c r="B38" s="24"/>
      <c r="C38" s="24"/>
      <c r="D38" s="24"/>
      <c r="E38" s="24">
        <f>SUM(E35:E37)</f>
        <v>-112560427.50999984</v>
      </c>
      <c r="F38" s="24"/>
      <c r="G38" s="24">
        <f>SUM(G35:G37)</f>
        <v>-116140162.7299999</v>
      </c>
      <c r="H38" s="24"/>
      <c r="I38" s="25"/>
      <c r="L38" s="128"/>
      <c r="M38" s="128"/>
      <c r="N38" s="128"/>
      <c r="O38" s="128"/>
      <c r="P38" s="128"/>
    </row>
    <row r="39" spans="1:19" x14ac:dyDescent="0.25">
      <c r="A39" s="5"/>
      <c r="B39" s="31"/>
      <c r="C39" s="31"/>
      <c r="D39" s="31"/>
      <c r="E39" s="31"/>
      <c r="F39" s="31"/>
      <c r="G39" s="31"/>
      <c r="H39" s="31"/>
      <c r="I39" s="5"/>
      <c r="J39" s="127"/>
      <c r="K39" s="127"/>
      <c r="O39" s="1"/>
      <c r="P39" s="1"/>
    </row>
    <row r="40" spans="1:19" x14ac:dyDescent="0.25">
      <c r="B40" s="127"/>
      <c r="C40" s="127"/>
      <c r="D40" s="127"/>
      <c r="E40" s="127"/>
      <c r="F40" s="127"/>
      <c r="G40" s="127"/>
      <c r="H40" s="127"/>
      <c r="L40" s="1"/>
      <c r="M40" s="1"/>
      <c r="N40" s="1"/>
      <c r="O40" s="1"/>
      <c r="P40" s="1"/>
    </row>
    <row r="41" spans="1:19" x14ac:dyDescent="0.25">
      <c r="B41" s="127"/>
      <c r="C41" s="127"/>
      <c r="D41" s="127"/>
      <c r="E41" s="127"/>
      <c r="F41" s="127"/>
      <c r="G41" s="127"/>
      <c r="H41" s="127"/>
      <c r="L41" s="1"/>
      <c r="M41" s="1"/>
      <c r="N41" s="1"/>
      <c r="O41" s="1"/>
      <c r="P41" s="1"/>
    </row>
    <row r="42" spans="1:19" x14ac:dyDescent="0.25">
      <c r="B42" s="127"/>
      <c r="C42" s="127"/>
      <c r="D42" s="127"/>
      <c r="E42" s="127"/>
      <c r="F42" s="127"/>
      <c r="G42" s="127"/>
      <c r="H42" s="127"/>
      <c r="L42" s="1"/>
      <c r="M42" s="1"/>
      <c r="N42" s="1"/>
      <c r="O42" s="1"/>
      <c r="P42" s="1"/>
    </row>
    <row r="43" spans="1:19" x14ac:dyDescent="0.25">
      <c r="B43" s="127"/>
      <c r="C43" s="127"/>
      <c r="D43" s="127"/>
      <c r="E43" s="127"/>
      <c r="F43" s="127"/>
      <c r="G43" s="127"/>
      <c r="H43" s="127"/>
      <c r="L43" s="1"/>
      <c r="M43" s="1"/>
      <c r="N43" s="1"/>
      <c r="O43" s="1"/>
      <c r="P43" s="1"/>
    </row>
    <row r="44" spans="1:19" x14ac:dyDescent="0.25">
      <c r="B44" s="127"/>
      <c r="C44" s="1"/>
      <c r="D44" s="1"/>
      <c r="E44" s="1"/>
      <c r="F44" s="1"/>
      <c r="G44" s="1"/>
      <c r="H44" s="1"/>
      <c r="L44" s="1"/>
      <c r="M44" s="1"/>
      <c r="N44" s="1"/>
      <c r="O44" s="1"/>
      <c r="P44" s="1"/>
    </row>
    <row r="45" spans="1:19" x14ac:dyDescent="0.25">
      <c r="B45" s="127"/>
      <c r="C45" s="1"/>
      <c r="D45" s="1"/>
      <c r="E45" s="1"/>
      <c r="F45" s="1"/>
      <c r="G45" s="1"/>
      <c r="H45" s="1"/>
      <c r="L45" s="1"/>
      <c r="M45" s="1"/>
      <c r="N45" s="1"/>
      <c r="O45" s="1"/>
      <c r="P45" s="1"/>
    </row>
    <row r="46" spans="1:19" x14ac:dyDescent="0.25">
      <c r="B46" s="127"/>
      <c r="C46" s="127"/>
      <c r="D46" s="127"/>
      <c r="E46" s="127"/>
      <c r="F46" s="127"/>
      <c r="G46" s="127"/>
      <c r="H46" s="127"/>
      <c r="I46" s="127"/>
      <c r="L46" s="1"/>
      <c r="M46" s="1"/>
      <c r="N46" s="1"/>
      <c r="O46" s="1"/>
      <c r="P46" s="1"/>
    </row>
    <row r="47" spans="1:19" x14ac:dyDescent="0.25">
      <c r="B47" s="127"/>
      <c r="C47" s="127"/>
      <c r="D47" s="127"/>
      <c r="E47" s="127"/>
      <c r="F47" s="127"/>
      <c r="G47" s="127"/>
      <c r="H47" s="127"/>
      <c r="I47" s="127"/>
      <c r="L47" s="1"/>
      <c r="M47" s="1"/>
      <c r="N47" s="1"/>
      <c r="O47" s="1"/>
      <c r="P47" s="1"/>
    </row>
    <row r="48" spans="1:19" x14ac:dyDescent="0.25">
      <c r="B48" s="127"/>
      <c r="C48" s="127"/>
      <c r="D48" s="127"/>
      <c r="E48" s="127"/>
      <c r="F48" s="127"/>
      <c r="G48" s="127"/>
      <c r="H48" s="127"/>
      <c r="I48" s="127"/>
      <c r="L48" s="1"/>
      <c r="M48" s="1"/>
      <c r="N48" s="1"/>
      <c r="O48" s="1"/>
      <c r="P48" s="1"/>
    </row>
    <row r="49" spans="2:16" x14ac:dyDescent="0.25">
      <c r="B49" s="127"/>
      <c r="C49" s="127"/>
      <c r="D49" s="127"/>
      <c r="E49" s="127"/>
      <c r="F49" s="127"/>
      <c r="G49" s="127"/>
      <c r="H49" s="127"/>
      <c r="I49" s="127"/>
      <c r="L49" s="1"/>
      <c r="M49" s="1"/>
      <c r="N49" s="1"/>
      <c r="O49" s="1"/>
      <c r="P49" s="1"/>
    </row>
    <row r="50" spans="2:16" x14ac:dyDescent="0.25">
      <c r="B50" s="127"/>
      <c r="C50" s="127"/>
      <c r="D50" s="127"/>
      <c r="E50" s="127"/>
      <c r="F50" s="127"/>
      <c r="G50" s="127"/>
      <c r="H50" s="127"/>
      <c r="I50" s="127"/>
      <c r="L50" s="1"/>
      <c r="M50" s="1"/>
      <c r="N50" s="1"/>
      <c r="O50" s="1"/>
      <c r="P50" s="1"/>
    </row>
    <row r="51" spans="2:16" x14ac:dyDescent="0.25">
      <c r="B51" s="127"/>
      <c r="C51" s="127"/>
      <c r="D51" s="127"/>
      <c r="E51" s="127"/>
      <c r="F51" s="127"/>
      <c r="G51" s="1"/>
      <c r="H51" s="1"/>
      <c r="L51" s="1"/>
      <c r="M51" s="1"/>
      <c r="N51" s="1"/>
      <c r="O51" s="1"/>
      <c r="P51" s="1"/>
    </row>
    <row r="52" spans="2:16" x14ac:dyDescent="0.25">
      <c r="B52" s="127"/>
      <c r="C52" s="127"/>
      <c r="D52" s="127"/>
      <c r="E52" s="127"/>
      <c r="F52" s="127"/>
      <c r="G52" s="1"/>
      <c r="H52" s="1"/>
      <c r="L52" s="1"/>
      <c r="M52" s="1"/>
      <c r="N52" s="1"/>
      <c r="O52" s="1"/>
      <c r="P52" s="1"/>
    </row>
    <row r="53" spans="2:16" x14ac:dyDescent="0.25">
      <c r="B53" s="127"/>
      <c r="C53" s="127"/>
      <c r="D53" s="127"/>
      <c r="E53" s="127"/>
      <c r="F53" s="127"/>
      <c r="G53" s="1"/>
      <c r="H53" s="1"/>
      <c r="L53" s="1"/>
      <c r="M53" s="1"/>
      <c r="N53" s="1"/>
      <c r="O53" s="1"/>
      <c r="P53" s="1"/>
    </row>
    <row r="54" spans="2:16" x14ac:dyDescent="0.25">
      <c r="B54" s="127"/>
      <c r="C54" s="127"/>
      <c r="D54" s="127"/>
      <c r="E54" s="127"/>
      <c r="F54" s="127"/>
      <c r="G54" s="1"/>
      <c r="H54" s="1"/>
      <c r="L54" s="1"/>
      <c r="M54" s="1"/>
      <c r="N54" s="1"/>
      <c r="O54" s="1"/>
      <c r="P54" s="1"/>
    </row>
    <row r="55" spans="2:16" x14ac:dyDescent="0.25">
      <c r="B55" s="127"/>
      <c r="C55" s="127"/>
      <c r="D55" s="127"/>
      <c r="E55" s="127"/>
      <c r="F55" s="127"/>
      <c r="G55" s="127"/>
      <c r="H55" s="127"/>
      <c r="L55" s="1"/>
      <c r="M55" s="1"/>
      <c r="N55" s="1"/>
      <c r="O55" s="1"/>
      <c r="P55" s="1"/>
    </row>
    <row r="56" spans="2:16" x14ac:dyDescent="0.25">
      <c r="B56" s="127"/>
      <c r="C56" s="127"/>
      <c r="D56" s="127"/>
      <c r="E56" s="127"/>
      <c r="F56" s="127"/>
      <c r="G56" s="127"/>
      <c r="H56" s="127"/>
      <c r="L56" s="1"/>
      <c r="M56" s="1"/>
      <c r="N56" s="1"/>
      <c r="O56" s="1"/>
      <c r="P56" s="1"/>
    </row>
    <row r="57" spans="2:16" x14ac:dyDescent="0.25">
      <c r="B57" s="127"/>
      <c r="C57" s="127"/>
      <c r="D57" s="127"/>
      <c r="E57" s="127"/>
      <c r="F57" s="127"/>
      <c r="G57" s="127"/>
      <c r="H57" s="127"/>
      <c r="J57" s="127"/>
      <c r="L57" s="1"/>
      <c r="M57" s="1"/>
      <c r="N57" s="1"/>
      <c r="O57" s="1"/>
      <c r="P57" s="1"/>
    </row>
    <row r="58" spans="2:16" x14ac:dyDescent="0.25">
      <c r="B58" s="127"/>
      <c r="C58" s="127"/>
      <c r="D58" s="127"/>
      <c r="E58" s="127"/>
      <c r="F58" s="127"/>
      <c r="G58" s="127"/>
      <c r="H58" s="127"/>
      <c r="I58" s="127"/>
      <c r="J58" s="127"/>
      <c r="L58" s="1"/>
      <c r="M58" s="1"/>
      <c r="N58" s="1"/>
      <c r="O58" s="1"/>
      <c r="P58" s="1"/>
    </row>
    <row r="59" spans="2:16" x14ac:dyDescent="0.25">
      <c r="B59" s="127"/>
      <c r="C59" s="127"/>
      <c r="D59" s="127"/>
      <c r="E59" s="127"/>
      <c r="F59" s="127"/>
      <c r="G59" s="127"/>
      <c r="H59" s="127"/>
      <c r="I59" s="127"/>
      <c r="J59" s="127"/>
      <c r="L59" s="1"/>
      <c r="M59" s="1"/>
      <c r="N59" s="1"/>
      <c r="O59" s="1"/>
      <c r="P59" s="1"/>
    </row>
    <row r="60" spans="2:16" x14ac:dyDescent="0.25">
      <c r="B60" s="127"/>
      <c r="C60" s="127"/>
      <c r="D60" s="127"/>
      <c r="E60" s="127"/>
      <c r="F60" s="127"/>
      <c r="G60" s="127"/>
      <c r="H60" s="127"/>
      <c r="I60" s="127"/>
      <c r="J60" s="127"/>
      <c r="L60" s="1"/>
      <c r="M60" s="1"/>
      <c r="N60" s="1"/>
      <c r="O60" s="1"/>
      <c r="P60" s="1"/>
    </row>
    <row r="61" spans="2:16" x14ac:dyDescent="0.25">
      <c r="B61" s="127"/>
      <c r="C61" s="127"/>
      <c r="D61" s="127"/>
      <c r="E61" s="127"/>
      <c r="F61" s="127"/>
      <c r="G61" s="127"/>
      <c r="H61" s="127"/>
      <c r="I61" s="127"/>
      <c r="J61" s="127"/>
      <c r="L61" s="1"/>
      <c r="M61" s="1"/>
      <c r="N61" s="1"/>
      <c r="O61" s="1"/>
      <c r="P61" s="1"/>
    </row>
    <row r="62" spans="2:16" x14ac:dyDescent="0.25">
      <c r="B62" s="127"/>
      <c r="C62" s="127"/>
      <c r="D62" s="127"/>
      <c r="E62" s="127"/>
      <c r="F62" s="127"/>
      <c r="G62" s="127"/>
      <c r="H62" s="127"/>
      <c r="I62" s="127"/>
      <c r="J62" s="127"/>
      <c r="L62" s="1"/>
      <c r="M62" s="1"/>
      <c r="N62" s="1"/>
      <c r="O62" s="1"/>
      <c r="P62" s="1"/>
    </row>
    <row r="63" spans="2:16" x14ac:dyDescent="0.25">
      <c r="B63" s="127"/>
      <c r="C63" s="127"/>
      <c r="D63" s="127"/>
      <c r="E63" s="127"/>
      <c r="F63" s="127"/>
      <c r="G63" s="127"/>
      <c r="H63" s="127"/>
      <c r="I63" s="127"/>
      <c r="J63" s="127"/>
      <c r="L63" s="1"/>
      <c r="M63" s="1"/>
      <c r="N63" s="1"/>
      <c r="O63" s="1"/>
      <c r="P63" s="1"/>
    </row>
    <row r="64" spans="2:16" x14ac:dyDescent="0.25">
      <c r="B64" s="127"/>
      <c r="C64" s="127"/>
      <c r="D64" s="127"/>
      <c r="E64" s="127"/>
      <c r="F64" s="127"/>
      <c r="G64" s="127"/>
      <c r="H64" s="127"/>
      <c r="I64" s="127"/>
      <c r="J64" s="127"/>
      <c r="L64" s="1"/>
      <c r="M64" s="1"/>
      <c r="N64" s="1"/>
      <c r="O64" s="1"/>
      <c r="P64" s="1"/>
    </row>
    <row r="65" spans="2:16" x14ac:dyDescent="0.25">
      <c r="B65" s="127"/>
      <c r="C65" s="127"/>
      <c r="D65" s="127"/>
      <c r="E65" s="127"/>
      <c r="F65" s="127"/>
      <c r="G65" s="127"/>
      <c r="H65" s="127"/>
      <c r="I65" s="127"/>
      <c r="J65" s="127"/>
      <c r="L65" s="1"/>
      <c r="M65" s="1"/>
      <c r="N65" s="1"/>
      <c r="O65" s="1"/>
      <c r="P65" s="1"/>
    </row>
    <row r="66" spans="2:16" x14ac:dyDescent="0.25">
      <c r="B66" s="127"/>
      <c r="C66" s="127"/>
      <c r="D66" s="127"/>
      <c r="E66" s="127"/>
      <c r="F66" s="127"/>
      <c r="G66" s="127"/>
      <c r="H66" s="127"/>
      <c r="I66" s="127"/>
      <c r="J66" s="127"/>
      <c r="L66" s="1"/>
      <c r="M66" s="1"/>
      <c r="N66" s="1"/>
      <c r="O66" s="1"/>
      <c r="P66" s="1"/>
    </row>
    <row r="67" spans="2:16" x14ac:dyDescent="0.25">
      <c r="B67" s="127"/>
      <c r="C67" s="127"/>
      <c r="D67" s="127"/>
      <c r="E67" s="127"/>
      <c r="F67" s="127"/>
      <c r="G67" s="127"/>
      <c r="H67" s="127"/>
      <c r="I67" s="127"/>
      <c r="J67" s="127"/>
      <c r="L67" s="1"/>
      <c r="M67" s="1"/>
      <c r="N67" s="1"/>
      <c r="O67" s="1"/>
      <c r="P67" s="1"/>
    </row>
    <row r="68" spans="2:16" x14ac:dyDescent="0.25"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M68" s="1"/>
      <c r="N68" s="1"/>
      <c r="O68" s="1"/>
      <c r="P68" s="1"/>
    </row>
    <row r="69" spans="2:16" x14ac:dyDescent="0.25"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M69" s="1"/>
      <c r="N69" s="1"/>
      <c r="O69" s="1"/>
      <c r="P69" s="1"/>
    </row>
    <row r="70" spans="2:16" x14ac:dyDescent="0.25"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M70" s="1"/>
      <c r="N70" s="1"/>
      <c r="O70" s="1"/>
      <c r="P70" s="1"/>
    </row>
    <row r="71" spans="2:16" x14ac:dyDescent="0.25"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M71" s="1"/>
      <c r="N71" s="1"/>
      <c r="O71" s="1"/>
      <c r="P71" s="1"/>
    </row>
    <row r="72" spans="2:16" x14ac:dyDescent="0.25"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M72" s="1"/>
      <c r="N72" s="1"/>
      <c r="O72" s="1"/>
      <c r="P72" s="1"/>
    </row>
    <row r="73" spans="2:16" x14ac:dyDescent="0.25"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M73" s="1"/>
      <c r="N73" s="1"/>
      <c r="O73" s="1"/>
      <c r="P73" s="1"/>
    </row>
    <row r="74" spans="2:16" x14ac:dyDescent="0.25"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M74" s="1"/>
      <c r="N74" s="1"/>
      <c r="O74" s="1"/>
      <c r="P74" s="1"/>
    </row>
    <row r="75" spans="2:16" x14ac:dyDescent="0.25"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O75" s="1"/>
      <c r="P75" s="1"/>
    </row>
    <row r="76" spans="2:16" x14ac:dyDescent="0.25">
      <c r="B76" s="127"/>
      <c r="C76" s="127"/>
      <c r="D76" s="127"/>
      <c r="E76" s="127"/>
      <c r="F76" s="127"/>
      <c r="G76" s="127"/>
      <c r="H76" s="127"/>
      <c r="I76" s="28"/>
      <c r="J76" s="127"/>
      <c r="K76" s="127"/>
      <c r="O76" s="1"/>
      <c r="P76" s="1"/>
    </row>
    <row r="77" spans="2:16" x14ac:dyDescent="0.25">
      <c r="B77" s="127"/>
      <c r="C77" s="127"/>
      <c r="D77" s="127"/>
      <c r="E77" s="127"/>
      <c r="F77" s="127"/>
      <c r="G77" s="127"/>
      <c r="H77" s="127"/>
      <c r="I77" s="28"/>
      <c r="J77" s="127"/>
      <c r="K77" s="127"/>
      <c r="O77" s="1"/>
      <c r="P77" s="1"/>
    </row>
    <row r="78" spans="2:16" x14ac:dyDescent="0.25">
      <c r="B78" s="127"/>
      <c r="C78" s="127"/>
      <c r="D78" s="127"/>
      <c r="E78" s="127"/>
      <c r="F78" s="127"/>
      <c r="G78" s="127"/>
      <c r="H78" s="127"/>
      <c r="I78" s="28"/>
      <c r="J78" s="127"/>
      <c r="K78" s="127"/>
      <c r="O78" s="1"/>
      <c r="P78" s="1"/>
    </row>
    <row r="79" spans="2:16" x14ac:dyDescent="0.25">
      <c r="B79" s="127"/>
      <c r="C79" s="127"/>
      <c r="D79" s="127"/>
      <c r="E79" s="127"/>
      <c r="F79" s="127"/>
      <c r="G79" s="127"/>
      <c r="H79" s="127"/>
      <c r="I79" s="28"/>
      <c r="J79" s="127"/>
      <c r="K79" s="127"/>
      <c r="O79" s="1"/>
      <c r="P79" s="1"/>
    </row>
    <row r="80" spans="2:16" x14ac:dyDescent="0.25">
      <c r="B80" s="127"/>
      <c r="I80" s="28"/>
      <c r="J80" s="127"/>
      <c r="K80" s="127"/>
      <c r="O80" s="1"/>
      <c r="P80" s="1"/>
    </row>
    <row r="81" spans="2:16" x14ac:dyDescent="0.25">
      <c r="B81" s="127"/>
      <c r="I81" s="28"/>
      <c r="J81" s="127"/>
      <c r="K81" s="127"/>
      <c r="O81" s="1"/>
      <c r="P81" s="1"/>
    </row>
    <row r="82" spans="2:16" x14ac:dyDescent="0.25">
      <c r="B82" s="127"/>
      <c r="G82" s="1"/>
      <c r="H82" s="1"/>
      <c r="J82" s="127"/>
      <c r="K82" s="127"/>
      <c r="O82" s="1"/>
      <c r="P82" s="1"/>
    </row>
    <row r="83" spans="2:16" x14ac:dyDescent="0.25">
      <c r="B83" s="127"/>
      <c r="G83" s="1"/>
      <c r="H83" s="1"/>
      <c r="J83" s="127"/>
      <c r="K83" s="127"/>
      <c r="O83" s="1"/>
      <c r="P83" s="1"/>
    </row>
    <row r="84" spans="2:16" x14ac:dyDescent="0.25">
      <c r="B84" s="127"/>
      <c r="G84" s="1"/>
      <c r="H84" s="1"/>
      <c r="J84" s="127"/>
      <c r="K84" s="127"/>
      <c r="O84" s="1"/>
      <c r="P84" s="1"/>
    </row>
    <row r="85" spans="2:16" x14ac:dyDescent="0.25">
      <c r="B85" s="127"/>
      <c r="G85" s="1"/>
      <c r="H85" s="1"/>
      <c r="J85" s="127"/>
      <c r="K85" s="127"/>
      <c r="O85" s="1"/>
      <c r="P85" s="1"/>
    </row>
    <row r="86" spans="2:16" x14ac:dyDescent="0.25">
      <c r="B86" s="127"/>
      <c r="G86" s="1"/>
      <c r="H86" s="1"/>
      <c r="J86" s="127"/>
      <c r="K86" s="127"/>
      <c r="O86" s="1"/>
      <c r="P86" s="1"/>
    </row>
    <row r="87" spans="2:16" x14ac:dyDescent="0.25">
      <c r="B87" s="127"/>
      <c r="G87" s="1"/>
      <c r="H87" s="1"/>
      <c r="J87" s="127"/>
      <c r="K87" s="127"/>
      <c r="O87" s="1"/>
      <c r="P87" s="1"/>
    </row>
    <row r="88" spans="2:16" x14ac:dyDescent="0.25">
      <c r="B88" s="127"/>
      <c r="G88" s="1"/>
      <c r="H88" s="1"/>
      <c r="J88" s="127"/>
      <c r="K88" s="127"/>
      <c r="O88" s="1"/>
      <c r="P88" s="1"/>
    </row>
    <row r="89" spans="2:16" x14ac:dyDescent="0.25">
      <c r="B89" s="127"/>
      <c r="G89" s="1"/>
      <c r="H89" s="1"/>
      <c r="J89" s="127"/>
      <c r="K89" s="127"/>
      <c r="O89" s="1"/>
      <c r="P89" s="1"/>
    </row>
    <row r="90" spans="2:16" x14ac:dyDescent="0.25">
      <c r="B90" s="127"/>
      <c r="G90" s="1"/>
      <c r="H90" s="1"/>
      <c r="J90" s="127"/>
      <c r="K90" s="127"/>
      <c r="O90" s="1"/>
      <c r="P90" s="1"/>
    </row>
    <row r="91" spans="2:16" x14ac:dyDescent="0.25">
      <c r="B91" s="127"/>
      <c r="G91" s="1"/>
      <c r="H91" s="1"/>
      <c r="J91" s="127"/>
      <c r="K91" s="127"/>
      <c r="O91" s="1"/>
      <c r="P91" s="1"/>
    </row>
    <row r="92" spans="2:16" x14ac:dyDescent="0.25">
      <c r="B92" s="127"/>
      <c r="G92" s="1"/>
      <c r="H92" s="1"/>
      <c r="J92" s="127"/>
      <c r="K92" s="127"/>
      <c r="O92" s="1"/>
      <c r="P92" s="1"/>
    </row>
    <row r="93" spans="2:16" x14ac:dyDescent="0.25">
      <c r="G93" s="1"/>
      <c r="H93" s="1"/>
      <c r="J93" s="127"/>
      <c r="K93" s="127"/>
      <c r="O93" s="1"/>
      <c r="P93" s="1"/>
    </row>
    <row r="94" spans="2:16" x14ac:dyDescent="0.25">
      <c r="G94" s="1"/>
      <c r="H94" s="1"/>
      <c r="J94" s="127"/>
      <c r="K94" s="127"/>
      <c r="O94" s="1"/>
      <c r="P94" s="1"/>
    </row>
    <row r="95" spans="2:16" x14ac:dyDescent="0.25">
      <c r="G95" s="1"/>
      <c r="H95" s="1"/>
      <c r="J95" s="127"/>
      <c r="K95" s="127"/>
      <c r="O95" s="1"/>
      <c r="P95" s="1"/>
    </row>
    <row r="96" spans="2:16" x14ac:dyDescent="0.25">
      <c r="G96" s="1"/>
      <c r="H96" s="1"/>
      <c r="J96" s="127"/>
      <c r="K96" s="127"/>
      <c r="O96" s="1"/>
      <c r="P96" s="1"/>
    </row>
    <row r="97" spans="7:16" x14ac:dyDescent="0.25">
      <c r="G97" s="1"/>
      <c r="H97" s="1"/>
      <c r="J97" s="127"/>
      <c r="K97" s="127"/>
      <c r="O97" s="1"/>
      <c r="P97" s="1"/>
    </row>
    <row r="98" spans="7:16" x14ac:dyDescent="0.25">
      <c r="G98" s="1"/>
      <c r="H98" s="1"/>
      <c r="J98" s="127"/>
      <c r="K98" s="127"/>
      <c r="O98" s="1"/>
      <c r="P98" s="1"/>
    </row>
    <row r="99" spans="7:16" x14ac:dyDescent="0.25">
      <c r="G99" s="1"/>
      <c r="H99" s="1"/>
      <c r="J99" s="127"/>
      <c r="K99" s="127"/>
      <c r="O99" s="1"/>
      <c r="P99" s="1"/>
    </row>
    <row r="100" spans="7:16" x14ac:dyDescent="0.25">
      <c r="G100" s="1"/>
      <c r="H100" s="1"/>
      <c r="J100" s="127"/>
      <c r="K100" s="127"/>
      <c r="O100" s="1"/>
      <c r="P100" s="1"/>
    </row>
    <row r="101" spans="7:16" x14ac:dyDescent="0.25">
      <c r="G101" s="1"/>
      <c r="H101" s="1"/>
      <c r="J101" s="127"/>
      <c r="K101" s="127"/>
      <c r="O101" s="1"/>
      <c r="P101" s="1"/>
    </row>
    <row r="102" spans="7:16" x14ac:dyDescent="0.25">
      <c r="G102" s="1"/>
      <c r="H102" s="1"/>
      <c r="J102" s="127"/>
      <c r="K102" s="127"/>
      <c r="O102" s="1"/>
      <c r="P102" s="1"/>
    </row>
    <row r="103" spans="7:16" x14ac:dyDescent="0.25">
      <c r="G103" s="1"/>
      <c r="H103" s="1"/>
      <c r="J103" s="127"/>
      <c r="K103" s="127"/>
      <c r="O103" s="1"/>
      <c r="P103" s="1"/>
    </row>
    <row r="104" spans="7:16" x14ac:dyDescent="0.25">
      <c r="G104" s="1"/>
      <c r="H104" s="1"/>
      <c r="J104" s="127"/>
      <c r="K104" s="127"/>
      <c r="O104" s="1"/>
      <c r="P104" s="1"/>
    </row>
    <row r="105" spans="7:16" x14ac:dyDescent="0.25">
      <c r="G105" s="1"/>
      <c r="H105" s="1"/>
      <c r="J105" s="127"/>
      <c r="K105" s="127"/>
      <c r="O105" s="1"/>
      <c r="P105" s="1"/>
    </row>
    <row r="106" spans="7:16" x14ac:dyDescent="0.25">
      <c r="G106" s="1"/>
      <c r="H106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7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28" bestFit="1" customWidth="1"/>
    <col min="4" max="5" width="13.28515625" style="28" bestFit="1" customWidth="1"/>
    <col min="6" max="6" width="17.7109375" style="28" customWidth="1"/>
    <col min="7" max="7" width="13.5703125" style="28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48" t="s">
        <v>0</v>
      </c>
      <c r="B1" s="148"/>
      <c r="C1" s="148"/>
      <c r="D1" s="148"/>
      <c r="E1" s="148"/>
      <c r="F1" s="148"/>
      <c r="G1" s="148"/>
      <c r="H1" s="148"/>
      <c r="I1" s="148"/>
    </row>
    <row r="2" spans="1:9" ht="18.75" x14ac:dyDescent="0.3">
      <c r="A2" s="149" t="s">
        <v>79</v>
      </c>
      <c r="B2" s="149"/>
      <c r="C2" s="149"/>
      <c r="D2" s="149"/>
      <c r="E2" s="149"/>
      <c r="F2" s="149"/>
      <c r="G2" s="149"/>
      <c r="H2" s="149"/>
      <c r="I2" s="149"/>
    </row>
    <row r="3" spans="1:9" x14ac:dyDescent="0.25">
      <c r="A3" s="148" t="s">
        <v>1</v>
      </c>
      <c r="B3" s="148"/>
      <c r="C3" s="148"/>
      <c r="D3" s="148"/>
      <c r="E3" s="148"/>
      <c r="F3" s="148"/>
      <c r="G3" s="148"/>
      <c r="H3" s="148"/>
      <c r="I3" s="148"/>
    </row>
    <row r="4" spans="1:9" x14ac:dyDescent="0.25">
      <c r="A4" s="150">
        <v>45657</v>
      </c>
      <c r="B4" s="150"/>
      <c r="C4" s="150"/>
      <c r="D4" s="150"/>
      <c r="E4" s="150"/>
      <c r="F4" s="150"/>
      <c r="G4" s="150"/>
      <c r="H4" s="150"/>
      <c r="I4" s="150"/>
    </row>
    <row r="5" spans="1:9" x14ac:dyDescent="0.25">
      <c r="A5" s="148" t="s">
        <v>2</v>
      </c>
      <c r="B5" s="148"/>
      <c r="C5" s="148"/>
      <c r="D5" s="148"/>
      <c r="E5" s="148"/>
      <c r="F5" s="148"/>
      <c r="G5" s="148"/>
      <c r="H5" s="148"/>
      <c r="I5" s="148"/>
    </row>
    <row r="6" spans="1:9" ht="15.75" thickBot="1" x14ac:dyDescent="0.3">
      <c r="A6" s="148"/>
      <c r="B6" s="148"/>
      <c r="C6" s="148"/>
      <c r="D6" s="148"/>
      <c r="E6" s="148"/>
      <c r="F6" s="148"/>
      <c r="G6" s="148"/>
      <c r="H6" s="148"/>
      <c r="I6" s="148"/>
    </row>
    <row r="7" spans="1:9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" t="s">
        <v>7</v>
      </c>
      <c r="I7" s="4" t="s">
        <v>31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3" t="str">
        <f>IF(C8=0,"NA",H8/C8)</f>
        <v>NA</v>
      </c>
    </row>
    <row r="9" spans="1:9" s="5" customFormat="1" x14ac:dyDescent="0.2">
      <c r="A9" s="6" t="s">
        <v>11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f t="shared" si="0"/>
        <v>0</v>
      </c>
      <c r="H9" s="7">
        <f t="shared" si="1"/>
        <v>0</v>
      </c>
      <c r="I9" s="33" t="str">
        <f t="shared" ref="I9:I11" si="2">IF(C9=0,"NA",H9/C9)</f>
        <v>NA</v>
      </c>
    </row>
    <row r="10" spans="1:9" s="5" customFormat="1" ht="24.95" customHeight="1" x14ac:dyDescent="0.2">
      <c r="A10" s="10" t="s">
        <v>12</v>
      </c>
      <c r="B10" s="11">
        <f t="shared" ref="B10:H10" si="3">SUM(B8:B9)</f>
        <v>0</v>
      </c>
      <c r="C10" s="11">
        <f t="shared" si="3"/>
        <v>0</v>
      </c>
      <c r="D10" s="11">
        <f t="shared" si="3"/>
        <v>0</v>
      </c>
      <c r="E10" s="11">
        <f t="shared" si="3"/>
        <v>0</v>
      </c>
      <c r="F10" s="11">
        <f t="shared" si="3"/>
        <v>0</v>
      </c>
      <c r="G10" s="11">
        <f t="shared" si="3"/>
        <v>0</v>
      </c>
      <c r="H10" s="11">
        <f t="shared" si="3"/>
        <v>0</v>
      </c>
      <c r="I10" s="34" t="str">
        <f t="shared" si="2"/>
        <v>NA</v>
      </c>
    </row>
    <row r="11" spans="1:9" s="5" customFormat="1" x14ac:dyDescent="0.2">
      <c r="A11" s="26" t="s">
        <v>25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f t="shared" si="0"/>
        <v>0</v>
      </c>
      <c r="H11" s="13">
        <f t="shared" si="1"/>
        <v>0</v>
      </c>
      <c r="I11" s="35" t="str">
        <f t="shared" si="2"/>
        <v>NA</v>
      </c>
    </row>
    <row r="12" spans="1:9" s="5" customFormat="1" x14ac:dyDescent="0.2">
      <c r="A12" s="27" t="s">
        <v>24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f t="shared" ref="G12" si="4">SUM(E12:F12)</f>
        <v>0</v>
      </c>
      <c r="H12" s="9">
        <f t="shared" ref="H12" si="5">C12-G12</f>
        <v>0</v>
      </c>
      <c r="I12" s="36" t="str">
        <f t="shared" ref="I12" si="6">IF(C12=0,"NA",H12/C12)</f>
        <v>NA</v>
      </c>
    </row>
    <row r="13" spans="1:9" s="5" customFormat="1" ht="24.95" customHeight="1" x14ac:dyDescent="0.2">
      <c r="A13" s="10" t="s">
        <v>26</v>
      </c>
      <c r="B13" s="11">
        <f>SUM(B11:B12)</f>
        <v>0</v>
      </c>
      <c r="C13" s="11">
        <f t="shared" ref="C13:H13" si="7">SUM(C11:C12)</f>
        <v>0</v>
      </c>
      <c r="D13" s="11">
        <f t="shared" si="7"/>
        <v>0</v>
      </c>
      <c r="E13" s="11">
        <f t="shared" si="7"/>
        <v>0</v>
      </c>
      <c r="F13" s="11">
        <f t="shared" si="7"/>
        <v>0</v>
      </c>
      <c r="G13" s="11">
        <f t="shared" si="7"/>
        <v>0</v>
      </c>
      <c r="H13" s="11">
        <f t="shared" si="7"/>
        <v>0</v>
      </c>
      <c r="I13" s="34" t="str">
        <f t="shared" ref="I13" si="8">IF(C13=0,"NA",H13/C13)</f>
        <v>NA</v>
      </c>
    </row>
    <row r="14" spans="1:9" s="5" customFormat="1" x14ac:dyDescent="0.2">
      <c r="A14" s="12"/>
      <c r="B14" s="13"/>
      <c r="C14" s="13"/>
      <c r="D14" s="13"/>
      <c r="E14" s="13"/>
      <c r="F14" s="13"/>
      <c r="G14" s="13"/>
      <c r="H14" s="14"/>
      <c r="I14" s="15"/>
    </row>
    <row r="15" spans="1:9" s="5" customFormat="1" x14ac:dyDescent="0.2">
      <c r="A15" s="6" t="s">
        <v>27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0</v>
      </c>
      <c r="F15" s="7"/>
      <c r="G15" s="7">
        <f>G10-G13</f>
        <v>0</v>
      </c>
      <c r="H15" s="7">
        <f>H10-H13</f>
        <v>0</v>
      </c>
      <c r="I15" s="16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7"/>
    </row>
    <row r="17" spans="1:10" s="5" customFormat="1" ht="24.95" customHeight="1" x14ac:dyDescent="0.2">
      <c r="A17" s="18" t="s">
        <v>67</v>
      </c>
      <c r="B17" s="20"/>
      <c r="C17" s="20"/>
      <c r="D17" s="20"/>
      <c r="E17" s="20">
        <v>0</v>
      </c>
      <c r="F17" s="20"/>
      <c r="G17" s="20">
        <f>E17</f>
        <v>0</v>
      </c>
      <c r="H17" s="19"/>
      <c r="I17" s="21"/>
    </row>
    <row r="18" spans="1:10" s="5" customFormat="1" ht="24.95" customHeight="1" thickBot="1" x14ac:dyDescent="0.25">
      <c r="A18" s="22" t="s">
        <v>28</v>
      </c>
      <c r="B18" s="24"/>
      <c r="C18" s="24"/>
      <c r="D18" s="24"/>
      <c r="E18" s="24">
        <f>SUM(E15:E17)</f>
        <v>0</v>
      </c>
      <c r="F18" s="24"/>
      <c r="G18" s="24">
        <f>SUM(G15:G17)</f>
        <v>0</v>
      </c>
      <c r="H18" s="23"/>
      <c r="I18" s="25"/>
    </row>
    <row r="19" spans="1:10" s="5" customFormat="1" x14ac:dyDescent="0.2">
      <c r="B19" s="31"/>
      <c r="C19" s="31"/>
      <c r="D19" s="31"/>
      <c r="E19" s="31"/>
      <c r="F19" s="31"/>
      <c r="G19" s="31"/>
    </row>
    <row r="20" spans="1:10" s="5" customFormat="1" x14ac:dyDescent="0.2">
      <c r="A20" s="29"/>
      <c r="B20" s="31"/>
      <c r="C20" s="31"/>
      <c r="D20" s="31"/>
      <c r="E20" s="31"/>
      <c r="F20" s="31"/>
      <c r="G20" s="31"/>
    </row>
    <row r="21" spans="1:10" s="5" customFormat="1" x14ac:dyDescent="0.2">
      <c r="B21" s="31"/>
      <c r="C21" s="31"/>
      <c r="D21" s="31"/>
      <c r="E21" s="31"/>
      <c r="F21" s="31"/>
      <c r="G21" s="31"/>
      <c r="H21" s="31"/>
      <c r="I21" s="31"/>
    </row>
    <row r="22" spans="1:10" x14ac:dyDescent="0.25">
      <c r="H22" s="28"/>
      <c r="I22" s="28"/>
    </row>
    <row r="23" spans="1:10" s="5" customFormat="1" x14ac:dyDescent="0.2">
      <c r="B23" s="31"/>
      <c r="C23" s="31"/>
      <c r="D23" s="31"/>
      <c r="E23" s="31"/>
      <c r="F23" s="31"/>
      <c r="G23" s="31"/>
      <c r="H23" s="31"/>
      <c r="I23" s="31"/>
    </row>
    <row r="24" spans="1:10" x14ac:dyDescent="0.25">
      <c r="H24" s="28"/>
      <c r="I24" s="28"/>
      <c r="J24" s="28"/>
    </row>
    <row r="26" spans="1:10" x14ac:dyDescent="0.25">
      <c r="H26" s="28"/>
      <c r="I26" s="28"/>
    </row>
    <row r="27" spans="1:10" x14ac:dyDescent="0.25">
      <c r="H27" s="28"/>
      <c r="I27" s="28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V47"/>
  <sheetViews>
    <sheetView workbookViewId="0">
      <selection sqref="A1:I1"/>
    </sheetView>
  </sheetViews>
  <sheetFormatPr defaultRowHeight="15" x14ac:dyDescent="0.25"/>
  <cols>
    <col min="1" max="1" width="52.28515625" style="1" bestFit="1" customWidth="1"/>
    <col min="2" max="3" width="15.28515625" style="28" bestFit="1" customWidth="1"/>
    <col min="4" max="4" width="14.5703125" style="28" bestFit="1" customWidth="1"/>
    <col min="5" max="5" width="14.7109375" style="28" bestFit="1" customWidth="1"/>
    <col min="6" max="6" width="17.5703125" style="28" customWidth="1"/>
    <col min="7" max="7" width="14.7109375" style="28" bestFit="1" customWidth="1"/>
    <col min="8" max="8" width="14.5703125" style="28" bestFit="1" customWidth="1"/>
    <col min="9" max="9" width="14.85546875" style="1" customWidth="1"/>
    <col min="10" max="10" width="3.5703125" style="44" customWidth="1"/>
    <col min="11" max="11" width="25.7109375" style="1" bestFit="1" customWidth="1"/>
    <col min="12" max="13" width="14.5703125" style="127" bestFit="1" customWidth="1"/>
    <col min="14" max="15" width="13.5703125" style="127" bestFit="1" customWidth="1"/>
    <col min="16" max="16" width="14.5703125" style="127" bestFit="1" customWidth="1"/>
    <col min="17" max="17" width="3.7109375" style="1" customWidth="1"/>
    <col min="18" max="18" width="9.7109375" style="1" bestFit="1" customWidth="1"/>
    <col min="19" max="19" width="9.140625" style="1"/>
    <col min="20" max="20" width="10.5703125" style="1" bestFit="1" customWidth="1"/>
    <col min="21" max="21" width="13.28515625" style="1" bestFit="1" customWidth="1"/>
    <col min="22" max="16384" width="9.140625" style="1"/>
  </cols>
  <sheetData>
    <row r="1" spans="1:22" x14ac:dyDescent="0.25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38"/>
    </row>
    <row r="2" spans="1:22" ht="18.75" x14ac:dyDescent="0.3">
      <c r="A2" s="149" t="s">
        <v>80</v>
      </c>
      <c r="B2" s="149"/>
      <c r="C2" s="149"/>
      <c r="D2" s="149"/>
      <c r="E2" s="149"/>
      <c r="F2" s="149"/>
      <c r="G2" s="149"/>
      <c r="H2" s="149"/>
      <c r="I2" s="149"/>
      <c r="J2" s="39"/>
    </row>
    <row r="3" spans="1:22" x14ac:dyDescent="0.25">
      <c r="A3" s="148" t="s">
        <v>1</v>
      </c>
      <c r="B3" s="148"/>
      <c r="C3" s="148"/>
      <c r="D3" s="148"/>
      <c r="E3" s="148"/>
      <c r="F3" s="148"/>
      <c r="G3" s="148"/>
      <c r="H3" s="148"/>
      <c r="I3" s="148"/>
      <c r="J3" s="38"/>
    </row>
    <row r="4" spans="1:22" x14ac:dyDescent="0.25">
      <c r="A4" s="150">
        <v>45657</v>
      </c>
      <c r="B4" s="150"/>
      <c r="C4" s="150"/>
      <c r="D4" s="150"/>
      <c r="E4" s="150"/>
      <c r="F4" s="150"/>
      <c r="G4" s="150"/>
      <c r="H4" s="150"/>
      <c r="I4" s="150"/>
      <c r="J4" s="40"/>
    </row>
    <row r="5" spans="1:22" x14ac:dyDescent="0.25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38"/>
    </row>
    <row r="6" spans="1:22" ht="15.75" thickBot="1" x14ac:dyDescent="0.3">
      <c r="A6" s="148"/>
      <c r="B6" s="148"/>
      <c r="C6" s="148"/>
      <c r="D6" s="148"/>
      <c r="E6" s="148"/>
      <c r="F6" s="148"/>
      <c r="G6" s="148"/>
      <c r="H6" s="148"/>
      <c r="I6" s="148"/>
      <c r="J6" s="38"/>
    </row>
    <row r="7" spans="1:22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J7" s="41"/>
      <c r="L7" s="128"/>
      <c r="M7" s="128"/>
      <c r="N7" s="128"/>
      <c r="O7" s="128"/>
      <c r="P7" s="128"/>
    </row>
    <row r="8" spans="1:22" s="5" customFormat="1" x14ac:dyDescent="0.2">
      <c r="A8" s="6" t="s">
        <v>8</v>
      </c>
      <c r="B8" s="144">
        <v>429000000</v>
      </c>
      <c r="C8" s="144">
        <v>429000000</v>
      </c>
      <c r="D8" s="144">
        <v>12903668.43</v>
      </c>
      <c r="E8" s="144">
        <v>64557543.939999998</v>
      </c>
      <c r="F8" s="144">
        <v>0</v>
      </c>
      <c r="G8" s="7">
        <f t="shared" ref="G8:G21" si="0">SUM(E8:F8)</f>
        <v>64557543.939999998</v>
      </c>
      <c r="H8" s="7">
        <f t="shared" ref="H8:H11" si="1">C8-G8</f>
        <v>364442456.06</v>
      </c>
      <c r="I8" s="33">
        <f>IF(C8=0,"NA",H8/C8)</f>
        <v>0.8495162145920746</v>
      </c>
      <c r="J8" s="42"/>
      <c r="K8"/>
      <c r="L8" s="129"/>
      <c r="M8" s="129"/>
      <c r="N8" s="129"/>
      <c r="O8" s="129"/>
      <c r="P8" s="129"/>
      <c r="R8" s="128"/>
      <c r="S8" s="128"/>
      <c r="T8" s="128"/>
      <c r="U8" s="128"/>
      <c r="V8" s="128"/>
    </row>
    <row r="9" spans="1:22" s="5" customFormat="1" x14ac:dyDescent="0.2">
      <c r="A9" s="6" t="s">
        <v>9</v>
      </c>
      <c r="B9" s="145">
        <v>2800000</v>
      </c>
      <c r="C9" s="145">
        <v>2800000</v>
      </c>
      <c r="D9" s="145">
        <v>2358952.91</v>
      </c>
      <c r="E9" s="145">
        <v>15113935.68</v>
      </c>
      <c r="F9" s="145">
        <v>0</v>
      </c>
      <c r="G9" s="7">
        <f t="shared" si="0"/>
        <v>15113935.68</v>
      </c>
      <c r="H9" s="7">
        <f t="shared" si="1"/>
        <v>-12313935.68</v>
      </c>
      <c r="I9" s="33">
        <f t="shared" ref="I9:I22" si="2">IF(C9=0,"NA",H9/C9)</f>
        <v>-4.3978341714285714</v>
      </c>
      <c r="J9" s="42"/>
      <c r="K9"/>
      <c r="L9" s="129"/>
      <c r="M9" s="129"/>
      <c r="N9" s="129"/>
      <c r="O9" s="129"/>
      <c r="P9" s="129"/>
      <c r="R9" s="128"/>
      <c r="S9" s="128"/>
      <c r="T9" s="128"/>
      <c r="U9" s="128"/>
      <c r="V9" s="128"/>
    </row>
    <row r="10" spans="1:22" s="5" customFormat="1" x14ac:dyDescent="0.2">
      <c r="A10" s="6" t="s">
        <v>10</v>
      </c>
      <c r="B10" s="145">
        <v>0</v>
      </c>
      <c r="C10" s="145">
        <v>0</v>
      </c>
      <c r="D10" s="145">
        <v>0</v>
      </c>
      <c r="E10" s="145">
        <v>0</v>
      </c>
      <c r="F10" s="145">
        <v>0</v>
      </c>
      <c r="G10" s="7">
        <f t="shared" si="0"/>
        <v>0</v>
      </c>
      <c r="H10" s="7">
        <f t="shared" si="1"/>
        <v>0</v>
      </c>
      <c r="I10" s="33" t="str">
        <f t="shared" si="2"/>
        <v>NA</v>
      </c>
      <c r="J10" s="42"/>
      <c r="K10"/>
      <c r="L10" s="129"/>
      <c r="M10" s="129"/>
      <c r="N10" s="129"/>
      <c r="O10" s="129"/>
      <c r="P10" s="129"/>
      <c r="R10" s="128"/>
      <c r="S10" s="128"/>
      <c r="T10" s="128"/>
      <c r="U10" s="128"/>
      <c r="V10" s="128"/>
    </row>
    <row r="11" spans="1:22" s="5" customFormat="1" x14ac:dyDescent="0.2">
      <c r="A11" s="6" t="s">
        <v>11</v>
      </c>
      <c r="B11" s="146">
        <v>0</v>
      </c>
      <c r="C11" s="146">
        <v>21500000</v>
      </c>
      <c r="D11" s="146">
        <v>0</v>
      </c>
      <c r="E11" s="146">
        <v>41500000</v>
      </c>
      <c r="F11" s="146">
        <v>0</v>
      </c>
      <c r="G11" s="7">
        <f t="shared" si="0"/>
        <v>41500000</v>
      </c>
      <c r="H11" s="7">
        <f t="shared" si="1"/>
        <v>-20000000</v>
      </c>
      <c r="I11" s="33">
        <f t="shared" si="2"/>
        <v>-0.93023255813953487</v>
      </c>
      <c r="J11" s="42"/>
      <c r="K11"/>
      <c r="L11" s="129"/>
      <c r="M11" s="129"/>
      <c r="N11" s="129"/>
      <c r="O11" s="129"/>
      <c r="P11" s="129"/>
      <c r="R11" s="128"/>
      <c r="S11" s="128"/>
      <c r="T11" s="128"/>
      <c r="U11" s="128"/>
      <c r="V11" s="128"/>
    </row>
    <row r="12" spans="1:22" s="5" customFormat="1" ht="24.95" customHeight="1" x14ac:dyDescent="0.25">
      <c r="A12" s="10" t="s">
        <v>12</v>
      </c>
      <c r="B12" s="11">
        <f>SUM(B8:B11)</f>
        <v>431800000</v>
      </c>
      <c r="C12" s="11">
        <f t="shared" ref="C12:F12" si="3">SUM(C8:C11)</f>
        <v>453300000</v>
      </c>
      <c r="D12" s="11">
        <f t="shared" si="3"/>
        <v>15262621.34</v>
      </c>
      <c r="E12" s="11">
        <f t="shared" si="3"/>
        <v>121171479.62</v>
      </c>
      <c r="F12" s="11">
        <f t="shared" si="3"/>
        <v>0</v>
      </c>
      <c r="G12" s="11">
        <f t="shared" ref="G12:H12" si="4">SUM(G8:G11)</f>
        <v>121171479.62</v>
      </c>
      <c r="H12" s="11">
        <f t="shared" si="4"/>
        <v>332128520.38</v>
      </c>
      <c r="I12" s="34">
        <f t="shared" si="2"/>
        <v>0.73269031630266934</v>
      </c>
      <c r="Q12" s="1"/>
      <c r="R12" s="128"/>
      <c r="S12" s="128"/>
      <c r="T12" s="128"/>
      <c r="U12" s="128"/>
      <c r="V12" s="128"/>
    </row>
    <row r="13" spans="1:22" s="5" customFormat="1" x14ac:dyDescent="0.25">
      <c r="A13" s="12" t="s">
        <v>13</v>
      </c>
      <c r="B13" s="13">
        <v>0</v>
      </c>
      <c r="C13" s="13">
        <v>9920000</v>
      </c>
      <c r="D13" s="13">
        <v>1139235.1200000001</v>
      </c>
      <c r="E13" s="13">
        <v>2497830.7399999998</v>
      </c>
      <c r="F13" s="13">
        <v>120655.57</v>
      </c>
      <c r="G13" s="7">
        <f t="shared" si="0"/>
        <v>2618486.3099999996</v>
      </c>
      <c r="H13" s="7">
        <f t="shared" ref="H13:H21" si="5">C13-G13</f>
        <v>7301513.6900000004</v>
      </c>
      <c r="I13" s="37">
        <f t="shared" si="2"/>
        <v>0.73603968649193552</v>
      </c>
      <c r="J13" s="42"/>
      <c r="L13" s="1"/>
      <c r="M13" s="1"/>
      <c r="N13" s="1"/>
      <c r="O13" s="1"/>
      <c r="P13" s="1"/>
      <c r="R13" s="128"/>
      <c r="S13" s="128"/>
      <c r="T13" s="128"/>
      <c r="U13" s="128"/>
      <c r="V13" s="128"/>
    </row>
    <row r="14" spans="1:22" s="5" customFormat="1" x14ac:dyDescent="0.2">
      <c r="A14" s="6" t="s">
        <v>15</v>
      </c>
      <c r="B14" s="7">
        <v>0</v>
      </c>
      <c r="C14" s="7">
        <v>76541096.320000008</v>
      </c>
      <c r="D14" s="7">
        <v>827548.82</v>
      </c>
      <c r="E14" s="7">
        <v>4065572.09</v>
      </c>
      <c r="F14" s="7">
        <v>34811179.240000002</v>
      </c>
      <c r="G14" s="7">
        <f t="shared" ref="G14" si="6">SUM(E14:F14)</f>
        <v>38876751.329999998</v>
      </c>
      <c r="H14" s="7">
        <f t="shared" ref="H14:H15" si="7">C14-G14</f>
        <v>37664344.99000001</v>
      </c>
      <c r="I14" s="37">
        <f t="shared" ref="I14:I15" si="8">IF(C14=0,"NA",H14/C14)</f>
        <v>0.49208003021715807</v>
      </c>
      <c r="J14" s="42"/>
      <c r="R14" s="128"/>
      <c r="S14" s="128"/>
      <c r="T14" s="128"/>
      <c r="U14" s="128"/>
      <c r="V14" s="128"/>
    </row>
    <row r="15" spans="1:22" s="5" customFormat="1" x14ac:dyDescent="0.25">
      <c r="A15" s="147" t="s">
        <v>18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ref="G15" si="9">SUM(E15:F15)</f>
        <v>0</v>
      </c>
      <c r="H15" s="7">
        <f t="shared" si="7"/>
        <v>0</v>
      </c>
      <c r="I15" s="37" t="str">
        <f t="shared" si="8"/>
        <v>NA</v>
      </c>
      <c r="J15" s="42"/>
      <c r="K15" s="1"/>
      <c r="L15" s="1"/>
      <c r="M15" s="1"/>
      <c r="R15" s="128"/>
      <c r="S15" s="128"/>
      <c r="T15" s="128"/>
      <c r="U15" s="128"/>
      <c r="V15" s="128"/>
    </row>
    <row r="16" spans="1:22" s="5" customFormat="1" x14ac:dyDescent="0.25">
      <c r="A16" s="6" t="s">
        <v>70</v>
      </c>
      <c r="B16" s="7">
        <v>10045882.43</v>
      </c>
      <c r="C16" s="7">
        <v>10993913.92</v>
      </c>
      <c r="D16" s="7">
        <v>83359.569999999992</v>
      </c>
      <c r="E16" s="7">
        <v>428955.21</v>
      </c>
      <c r="F16" s="7">
        <v>32075.469999999998</v>
      </c>
      <c r="G16" s="7">
        <f t="shared" si="0"/>
        <v>461030.68</v>
      </c>
      <c r="H16" s="7">
        <f t="shared" si="5"/>
        <v>10532883.24</v>
      </c>
      <c r="I16" s="37">
        <f t="shared" ref="I16" si="10">IF(C16=0,"NA",H16/C16)</f>
        <v>0.95806491815791839</v>
      </c>
      <c r="J16" s="42"/>
      <c r="K16" s="127"/>
      <c r="L16" s="127"/>
      <c r="M16" s="127"/>
      <c r="N16" s="127"/>
      <c r="O16" s="1"/>
      <c r="P16" s="1"/>
      <c r="Q16" s="1"/>
      <c r="R16" s="1"/>
      <c r="S16" s="127"/>
      <c r="T16" s="128"/>
      <c r="U16" s="128"/>
      <c r="V16" s="128"/>
    </row>
    <row r="17" spans="1:22" s="5" customFormat="1" x14ac:dyDescent="0.25">
      <c r="A17" s="6" t="s">
        <v>21</v>
      </c>
      <c r="B17" s="7">
        <v>1000000</v>
      </c>
      <c r="C17" s="7">
        <v>9270947.9499999993</v>
      </c>
      <c r="D17" s="7">
        <v>781760.89</v>
      </c>
      <c r="E17" s="7">
        <v>781760.89</v>
      </c>
      <c r="F17" s="7">
        <v>0</v>
      </c>
      <c r="G17" s="7">
        <f t="shared" si="0"/>
        <v>781760.89</v>
      </c>
      <c r="H17" s="7">
        <f t="shared" si="5"/>
        <v>8489187.0599999987</v>
      </c>
      <c r="I17" s="37">
        <f>IF(C17=0,"NA",H17/C17)</f>
        <v>0.91567627234925841</v>
      </c>
      <c r="J17" s="42"/>
      <c r="K17" s="1"/>
      <c r="L17" s="127"/>
      <c r="M17" s="127"/>
      <c r="N17" s="127"/>
      <c r="O17" s="127"/>
      <c r="P17" s="127"/>
      <c r="Q17" s="1"/>
      <c r="R17" s="1"/>
      <c r="S17" s="127"/>
      <c r="T17" s="128"/>
      <c r="U17" s="128"/>
      <c r="V17" s="128"/>
    </row>
    <row r="18" spans="1:22" s="5" customFormat="1" x14ac:dyDescent="0.25">
      <c r="A18" s="6" t="s">
        <v>22</v>
      </c>
      <c r="B18" s="7">
        <v>18000000</v>
      </c>
      <c r="C18" s="7">
        <v>18000000</v>
      </c>
      <c r="D18" s="7">
        <v>257420</v>
      </c>
      <c r="E18" s="7">
        <v>1338218.1200000001</v>
      </c>
      <c r="F18" s="7">
        <v>8701632.9199999999</v>
      </c>
      <c r="G18" s="7">
        <f t="shared" si="0"/>
        <v>10039851.039999999</v>
      </c>
      <c r="H18" s="7">
        <f t="shared" si="5"/>
        <v>7960148.9600000009</v>
      </c>
      <c r="I18" s="37">
        <f>IF(C18=0,"NA",H18/C18)</f>
        <v>0.44223049777777784</v>
      </c>
      <c r="J18" s="42"/>
      <c r="K18" s="1"/>
      <c r="L18" s="127"/>
      <c r="M18" s="127"/>
      <c r="N18" s="127"/>
      <c r="O18" s="127"/>
      <c r="P18" s="127"/>
      <c r="Q18" s="1"/>
      <c r="R18" s="127"/>
      <c r="S18" s="127"/>
      <c r="T18" s="128"/>
      <c r="U18" s="128"/>
      <c r="V18" s="128"/>
    </row>
    <row r="19" spans="1:22" s="5" customFormat="1" x14ac:dyDescent="0.25">
      <c r="A19" s="6" t="s">
        <v>73</v>
      </c>
      <c r="B19" s="7">
        <v>729323049.63999987</v>
      </c>
      <c r="C19" s="7">
        <v>951239438.95000005</v>
      </c>
      <c r="D19" s="7">
        <v>10257201.48</v>
      </c>
      <c r="E19" s="7">
        <v>96353540.069999993</v>
      </c>
      <c r="F19" s="7">
        <v>284414873.57000011</v>
      </c>
      <c r="G19" s="7">
        <f t="shared" si="0"/>
        <v>380768413.6400001</v>
      </c>
      <c r="H19" s="7">
        <f t="shared" si="5"/>
        <v>570471025.30999994</v>
      </c>
      <c r="I19" s="37">
        <f t="shared" si="2"/>
        <v>0.59971338650518835</v>
      </c>
      <c r="J19" s="42"/>
      <c r="K19" s="1"/>
      <c r="L19" s="127"/>
      <c r="M19" s="127"/>
      <c r="N19" s="127"/>
      <c r="O19" s="127"/>
      <c r="P19" s="127"/>
      <c r="Q19" s="127"/>
      <c r="R19" s="127"/>
      <c r="S19" s="127"/>
      <c r="T19" s="1"/>
      <c r="U19" s="128"/>
      <c r="V19" s="128"/>
    </row>
    <row r="20" spans="1:22" s="5" customFormat="1" x14ac:dyDescent="0.25">
      <c r="A20" s="6" t="s">
        <v>25</v>
      </c>
      <c r="B20" s="7">
        <v>83403442</v>
      </c>
      <c r="C20" s="7">
        <v>83403442</v>
      </c>
      <c r="D20" s="7">
        <v>0</v>
      </c>
      <c r="E20" s="7">
        <v>0</v>
      </c>
      <c r="F20" s="7">
        <v>0</v>
      </c>
      <c r="G20" s="7">
        <f t="shared" si="0"/>
        <v>0</v>
      </c>
      <c r="H20" s="7">
        <f t="shared" si="5"/>
        <v>83403442</v>
      </c>
      <c r="I20" s="37">
        <f t="shared" si="2"/>
        <v>1</v>
      </c>
      <c r="J20" s="42"/>
      <c r="K20" s="127"/>
      <c r="L20" s="127"/>
      <c r="M20" s="127"/>
      <c r="N20" s="127"/>
      <c r="O20" s="1"/>
      <c r="P20" s="1"/>
      <c r="Q20" s="127"/>
      <c r="R20" s="127"/>
      <c r="S20" s="127"/>
      <c r="T20" s="1"/>
      <c r="U20" s="128"/>
      <c r="V20" s="128"/>
    </row>
    <row r="21" spans="1:22" s="5" customFormat="1" x14ac:dyDescent="0.25">
      <c r="A21" s="6" t="s">
        <v>24</v>
      </c>
      <c r="B21" s="7">
        <v>5572080</v>
      </c>
      <c r="C21" s="7">
        <v>6006645.9800000004</v>
      </c>
      <c r="D21" s="7">
        <v>0</v>
      </c>
      <c r="E21" s="7">
        <v>0</v>
      </c>
      <c r="F21" s="7">
        <v>0</v>
      </c>
      <c r="G21" s="7">
        <f t="shared" si="0"/>
        <v>0</v>
      </c>
      <c r="H21" s="7">
        <f t="shared" si="5"/>
        <v>6006645.9800000004</v>
      </c>
      <c r="I21" s="37">
        <f t="shared" si="2"/>
        <v>1</v>
      </c>
      <c r="J21" s="42"/>
      <c r="K21" s="127"/>
      <c r="L21" s="127"/>
      <c r="M21" s="127"/>
      <c r="N21" s="127"/>
      <c r="O21" s="1"/>
      <c r="P21" s="1"/>
      <c r="Q21" s="1"/>
      <c r="R21" s="128"/>
      <c r="S21" s="128"/>
      <c r="T21" s="128"/>
      <c r="U21" s="128"/>
      <c r="V21" s="128"/>
    </row>
    <row r="22" spans="1:22" s="5" customFormat="1" ht="24.95" customHeight="1" x14ac:dyDescent="0.25">
      <c r="A22" s="10" t="s">
        <v>26</v>
      </c>
      <c r="B22" s="11">
        <f t="shared" ref="B22:H22" si="11">SUM(B13:B21)</f>
        <v>847344454.06999981</v>
      </c>
      <c r="C22" s="11">
        <f t="shared" si="11"/>
        <v>1165375485.1200001</v>
      </c>
      <c r="D22" s="11">
        <f t="shared" si="11"/>
        <v>13346525.880000001</v>
      </c>
      <c r="E22" s="11">
        <f t="shared" si="11"/>
        <v>105465877.11999999</v>
      </c>
      <c r="F22" s="11">
        <f t="shared" si="11"/>
        <v>328080416.7700001</v>
      </c>
      <c r="G22" s="11">
        <f t="shared" si="11"/>
        <v>433546293.8900001</v>
      </c>
      <c r="H22" s="11">
        <f t="shared" si="11"/>
        <v>731829191.23000002</v>
      </c>
      <c r="I22" s="34">
        <f t="shared" si="2"/>
        <v>0.62797716321846486</v>
      </c>
      <c r="K22" s="127"/>
      <c r="L22" s="127"/>
      <c r="M22" s="127"/>
      <c r="N22" s="127"/>
      <c r="O22" s="1"/>
      <c r="P22" s="1"/>
      <c r="Q22" s="127"/>
      <c r="R22" s="127"/>
      <c r="S22" s="127"/>
      <c r="T22" s="127"/>
      <c r="U22" s="128"/>
      <c r="V22" s="128"/>
    </row>
    <row r="23" spans="1:22" s="5" customFormat="1" x14ac:dyDescent="0.25">
      <c r="A23" s="12"/>
      <c r="B23" s="13"/>
      <c r="C23" s="13"/>
      <c r="D23" s="13"/>
      <c r="E23" s="13"/>
      <c r="F23" s="13"/>
      <c r="G23" s="13"/>
      <c r="H23" s="13"/>
      <c r="I23" s="15"/>
      <c r="J23" s="42"/>
      <c r="K23" s="127"/>
      <c r="L23" s="127"/>
      <c r="M23" s="127"/>
      <c r="N23" s="127"/>
      <c r="O23" s="1"/>
      <c r="P23" s="1"/>
      <c r="Q23" s="127"/>
      <c r="R23" s="127"/>
      <c r="S23" s="127"/>
      <c r="T23" s="127"/>
      <c r="U23" s="128"/>
      <c r="V23" s="128"/>
    </row>
    <row r="24" spans="1:22" s="5" customFormat="1" x14ac:dyDescent="0.25">
      <c r="A24" s="6" t="s">
        <v>27</v>
      </c>
      <c r="B24" s="7">
        <f>B12-B22</f>
        <v>-415544454.06999981</v>
      </c>
      <c r="C24" s="7">
        <f>C12-C22</f>
        <v>-712075485.12000012</v>
      </c>
      <c r="D24" s="7">
        <f>D12-D22</f>
        <v>1916095.459999999</v>
      </c>
      <c r="E24" s="7">
        <f>E12-E22</f>
        <v>15705602.500000015</v>
      </c>
      <c r="F24" s="7"/>
      <c r="G24" s="7">
        <f>G12-G22</f>
        <v>-312374814.2700001</v>
      </c>
      <c r="H24" s="7">
        <f>H12-H22</f>
        <v>-399700670.85000002</v>
      </c>
      <c r="I24" s="16"/>
      <c r="K24" s="1"/>
      <c r="L24" s="127"/>
      <c r="M24" s="127"/>
      <c r="N24" s="127"/>
      <c r="O24" s="127"/>
      <c r="P24" s="127"/>
      <c r="Q24" s="1"/>
      <c r="R24" s="1"/>
      <c r="S24" s="127"/>
      <c r="T24" s="127"/>
      <c r="U24" s="1"/>
      <c r="V24" s="128"/>
    </row>
    <row r="25" spans="1:22" s="5" customFormat="1" ht="24.95" customHeight="1" x14ac:dyDescent="0.25">
      <c r="A25" s="8"/>
      <c r="B25" s="9"/>
      <c r="C25" s="9"/>
      <c r="D25" s="9"/>
      <c r="E25" s="9"/>
      <c r="F25" s="9"/>
      <c r="G25" s="9"/>
      <c r="H25" s="9"/>
      <c r="I25" s="17"/>
      <c r="K25" s="1"/>
      <c r="L25" s="127"/>
      <c r="M25" s="127"/>
      <c r="N25" s="127"/>
      <c r="O25" s="127"/>
      <c r="P25" s="127"/>
      <c r="Q25" s="1"/>
      <c r="R25" s="1"/>
      <c r="S25" s="127"/>
      <c r="T25" s="127"/>
      <c r="U25" s="1"/>
      <c r="V25" s="128"/>
    </row>
    <row r="26" spans="1:22" x14ac:dyDescent="0.25">
      <c r="A26" s="18" t="s">
        <v>67</v>
      </c>
      <c r="B26" s="20"/>
      <c r="C26" s="20"/>
      <c r="D26" s="20"/>
      <c r="E26" s="143">
        <v>618640044.99000001</v>
      </c>
      <c r="F26" s="20"/>
      <c r="G26" s="20">
        <f>E26</f>
        <v>618640044.99000001</v>
      </c>
      <c r="H26" s="20"/>
      <c r="I26" s="21"/>
      <c r="J26" s="43"/>
      <c r="S26" s="127"/>
      <c r="T26" s="127"/>
    </row>
    <row r="27" spans="1:22" ht="15.75" thickBot="1" x14ac:dyDescent="0.3">
      <c r="A27" s="22" t="s">
        <v>28</v>
      </c>
      <c r="B27" s="24"/>
      <c r="C27" s="24"/>
      <c r="D27" s="24"/>
      <c r="E27" s="24">
        <f>SUM(E24:E26)</f>
        <v>634345647.49000001</v>
      </c>
      <c r="F27" s="24"/>
      <c r="G27" s="24">
        <f>SUM(G24:G26)</f>
        <v>306265230.71999991</v>
      </c>
      <c r="H27" s="24"/>
      <c r="I27" s="25"/>
      <c r="T27" s="127"/>
      <c r="U27" s="127"/>
    </row>
    <row r="28" spans="1:22" x14ac:dyDescent="0.25">
      <c r="A28" s="5"/>
      <c r="B28" s="31"/>
      <c r="C28" s="31"/>
      <c r="D28" s="31"/>
      <c r="E28" s="31"/>
      <c r="F28" s="31"/>
      <c r="G28" s="31"/>
      <c r="H28" s="31"/>
      <c r="I28" s="5"/>
      <c r="T28" s="127"/>
      <c r="U28" s="127"/>
    </row>
    <row r="29" spans="1:22" s="127" customFormat="1" x14ac:dyDescent="0.25">
      <c r="H29" s="138"/>
      <c r="K29" s="1"/>
      <c r="Q29" s="1"/>
      <c r="R29" s="1"/>
      <c r="S29" s="1"/>
    </row>
    <row r="30" spans="1:22" s="127" customFormat="1" x14ac:dyDescent="0.25">
      <c r="B30" s="138"/>
      <c r="K30" s="1"/>
      <c r="Q30" s="1"/>
      <c r="R30" s="1"/>
      <c r="S30" s="1"/>
      <c r="T30" s="1"/>
    </row>
    <row r="31" spans="1:22" s="127" customFormat="1" x14ac:dyDescent="0.25">
      <c r="D31" s="138"/>
      <c r="K31" s="1"/>
      <c r="Q31" s="1"/>
      <c r="R31" s="1"/>
      <c r="S31" s="1"/>
      <c r="T31" s="1"/>
    </row>
    <row r="32" spans="1:22" s="127" customFormat="1" x14ac:dyDescent="0.25">
      <c r="I32" s="1"/>
      <c r="K32" s="1"/>
      <c r="Q32" s="1"/>
      <c r="R32" s="1"/>
      <c r="S32" s="1"/>
      <c r="T32" s="1"/>
    </row>
    <row r="33" spans="2:21" s="127" customFormat="1" x14ac:dyDescent="0.25">
      <c r="C33" s="1"/>
      <c r="E33" s="1"/>
      <c r="G33" s="1"/>
      <c r="I33" s="1"/>
      <c r="K33" s="1"/>
      <c r="Q33" s="1"/>
      <c r="R33" s="1"/>
      <c r="S33" s="1"/>
      <c r="T33" s="1"/>
    </row>
    <row r="34" spans="2:21" s="127" customFormat="1" x14ac:dyDescent="0.25">
      <c r="C34" s="1"/>
      <c r="E34" s="1"/>
      <c r="G34" s="1"/>
      <c r="I34" s="1"/>
      <c r="K34" s="1"/>
      <c r="Q34" s="1"/>
      <c r="R34" s="1"/>
      <c r="S34" s="1"/>
      <c r="T34" s="1"/>
    </row>
    <row r="35" spans="2:21" s="127" customFormat="1" x14ac:dyDescent="0.25">
      <c r="K35" s="1"/>
      <c r="Q35" s="1"/>
      <c r="R35" s="1"/>
      <c r="S35" s="1"/>
      <c r="T35" s="1"/>
      <c r="U35" s="1"/>
    </row>
    <row r="36" spans="2:21" s="127" customFormat="1" x14ac:dyDescent="0.25">
      <c r="K36" s="1"/>
      <c r="Q36" s="1"/>
      <c r="R36" s="1"/>
      <c r="S36" s="1"/>
      <c r="T36" s="1"/>
      <c r="U36" s="1"/>
    </row>
    <row r="37" spans="2:21" x14ac:dyDescent="0.25">
      <c r="B37" s="127"/>
      <c r="C37" s="127"/>
      <c r="D37" s="127"/>
      <c r="E37" s="127"/>
      <c r="F37" s="127"/>
      <c r="G37" s="127"/>
      <c r="H37" s="127"/>
      <c r="I37" s="127"/>
      <c r="J37" s="127"/>
    </row>
    <row r="38" spans="2:21" x14ac:dyDescent="0.25">
      <c r="B38" s="127"/>
      <c r="C38" s="127"/>
      <c r="D38" s="127"/>
      <c r="E38" s="127"/>
      <c r="F38" s="127"/>
      <c r="G38" s="127"/>
      <c r="H38" s="127"/>
      <c r="I38" s="127"/>
      <c r="J38" s="127"/>
    </row>
    <row r="39" spans="2:21" x14ac:dyDescent="0.25">
      <c r="B39" s="127"/>
      <c r="C39" s="127"/>
      <c r="D39" s="127"/>
      <c r="E39" s="127"/>
      <c r="F39" s="127"/>
      <c r="J39" s="127"/>
    </row>
    <row r="40" spans="2:21" x14ac:dyDescent="0.25">
      <c r="B40" s="127"/>
      <c r="C40" s="127"/>
      <c r="D40" s="127"/>
      <c r="E40" s="127"/>
      <c r="F40" s="127"/>
      <c r="J40" s="127"/>
    </row>
    <row r="41" spans="2:21" x14ac:dyDescent="0.25">
      <c r="I41" s="28"/>
    </row>
    <row r="42" spans="2:21" x14ac:dyDescent="0.25">
      <c r="I42" s="28"/>
    </row>
    <row r="43" spans="2:21" x14ac:dyDescent="0.25">
      <c r="I43" s="28"/>
    </row>
    <row r="44" spans="2:21" x14ac:dyDescent="0.25">
      <c r="I44" s="28"/>
    </row>
    <row r="45" spans="2:21" x14ac:dyDescent="0.25">
      <c r="I45" s="28"/>
    </row>
    <row r="46" spans="2:21" x14ac:dyDescent="0.25">
      <c r="I46" s="28"/>
    </row>
    <row r="47" spans="2:21" x14ac:dyDescent="0.25">
      <c r="I47" s="28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XFD40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.140625" style="28" bestFit="1" customWidth="1"/>
    <col min="4" max="4" width="13.42578125" style="28" bestFit="1" customWidth="1"/>
    <col min="5" max="5" width="13.5703125" style="28" bestFit="1" customWidth="1"/>
    <col min="6" max="6" width="16.85546875" style="28" customWidth="1"/>
    <col min="7" max="7" width="13.7109375" style="28" bestFit="1" customWidth="1"/>
    <col min="8" max="8" width="13.5703125" style="28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30" style="1" bestFit="1" customWidth="1"/>
    <col min="13" max="14" width="13.5703125" style="1" bestFit="1" customWidth="1"/>
    <col min="15" max="15" width="12.42578125" style="1" bestFit="1" customWidth="1"/>
    <col min="16" max="17" width="13.5703125" style="1" bestFit="1" customWidth="1"/>
    <col min="18" max="20" width="9.140625" style="1"/>
    <col min="21" max="22" width="12.42578125" style="1" bestFit="1" customWidth="1"/>
    <col min="23" max="16384" width="9.140625" style="1"/>
  </cols>
  <sheetData>
    <row r="1" spans="1:23" x14ac:dyDescent="0.25">
      <c r="A1" s="148" t="s">
        <v>0</v>
      </c>
      <c r="B1" s="148"/>
      <c r="C1" s="148"/>
      <c r="D1" s="148"/>
      <c r="E1" s="148"/>
      <c r="F1" s="148"/>
      <c r="G1" s="148"/>
      <c r="H1" s="148"/>
      <c r="I1" s="148"/>
    </row>
    <row r="2" spans="1:23" ht="18.75" x14ac:dyDescent="0.3">
      <c r="A2" s="149" t="s">
        <v>81</v>
      </c>
      <c r="B2" s="149"/>
      <c r="C2" s="149"/>
      <c r="D2" s="149"/>
      <c r="E2" s="149"/>
      <c r="F2" s="149"/>
      <c r="G2" s="149"/>
      <c r="H2" s="149"/>
      <c r="I2" s="149"/>
    </row>
    <row r="3" spans="1:23" x14ac:dyDescent="0.25">
      <c r="A3" s="148" t="s">
        <v>1</v>
      </c>
      <c r="B3" s="148"/>
      <c r="C3" s="148"/>
      <c r="D3" s="148"/>
      <c r="E3" s="148"/>
      <c r="F3" s="148"/>
      <c r="G3" s="148"/>
      <c r="H3" s="148"/>
      <c r="I3" s="148"/>
    </row>
    <row r="4" spans="1:23" x14ac:dyDescent="0.25">
      <c r="A4" s="150">
        <v>45657</v>
      </c>
      <c r="B4" s="150"/>
      <c r="C4" s="150"/>
      <c r="D4" s="150"/>
      <c r="E4" s="150"/>
      <c r="F4" s="150"/>
      <c r="G4" s="150"/>
      <c r="H4" s="150"/>
      <c r="I4" s="150"/>
    </row>
    <row r="5" spans="1:23" x14ac:dyDescent="0.25">
      <c r="A5" s="148" t="s">
        <v>2</v>
      </c>
      <c r="B5" s="148"/>
      <c r="C5" s="148"/>
      <c r="D5" s="148"/>
      <c r="E5" s="148"/>
      <c r="F5" s="148"/>
      <c r="G5" s="148"/>
      <c r="H5" s="148"/>
      <c r="I5" s="148"/>
    </row>
    <row r="6" spans="1:23" ht="15.75" thickBot="1" x14ac:dyDescent="0.3">
      <c r="A6" s="148"/>
      <c r="B6" s="148"/>
      <c r="C6" s="148"/>
      <c r="D6" s="148"/>
      <c r="E6" s="148"/>
      <c r="F6" s="148"/>
      <c r="G6" s="148"/>
      <c r="H6" s="148"/>
      <c r="I6" s="148"/>
    </row>
    <row r="7" spans="1:23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M7" s="128"/>
      <c r="N7" s="128"/>
      <c r="O7" s="128"/>
      <c r="P7" s="128"/>
      <c r="Q7" s="128"/>
      <c r="R7" s="128"/>
    </row>
    <row r="8" spans="1:23" s="5" customFormat="1" x14ac:dyDescent="0.2">
      <c r="A8" s="6" t="s">
        <v>8</v>
      </c>
      <c r="B8" s="7">
        <v>69574270.079999998</v>
      </c>
      <c r="C8" s="7">
        <v>69574270.079999998</v>
      </c>
      <c r="D8" s="7">
        <v>98580.12999999999</v>
      </c>
      <c r="E8" s="7">
        <v>1217393.72</v>
      </c>
      <c r="F8" s="7">
        <v>0</v>
      </c>
      <c r="G8" s="7">
        <f t="shared" ref="G8:G17" si="0">SUM(E8:F8)</f>
        <v>1217393.72</v>
      </c>
      <c r="H8" s="7">
        <f t="shared" ref="H8:H12" si="1">C8-G8</f>
        <v>68356876.359999999</v>
      </c>
      <c r="I8" s="37">
        <f>IF(C8=0,"NA",H8/C8)</f>
        <v>0.98250224230020411</v>
      </c>
      <c r="L8"/>
      <c r="M8" s="129"/>
      <c r="N8" s="129"/>
      <c r="O8" s="129"/>
      <c r="P8" s="129"/>
      <c r="Q8" s="129"/>
      <c r="R8" s="128"/>
      <c r="S8" s="128"/>
      <c r="T8" s="128"/>
      <c r="U8" s="128"/>
      <c r="V8" s="128"/>
      <c r="W8" s="128"/>
    </row>
    <row r="9" spans="1:23" s="5" customFormat="1" x14ac:dyDescent="0.2">
      <c r="A9" s="6" t="s">
        <v>9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f t="shared" si="0"/>
        <v>0</v>
      </c>
      <c r="H9" s="7">
        <f t="shared" si="1"/>
        <v>0</v>
      </c>
      <c r="I9" s="37" t="str">
        <f t="shared" ref="I9:I18" si="2">IF(C9=0,"NA",H9/C9)</f>
        <v>NA</v>
      </c>
      <c r="L9"/>
      <c r="M9" s="129"/>
      <c r="N9" s="129"/>
      <c r="O9" s="129"/>
      <c r="P9" s="129"/>
      <c r="Q9" s="129"/>
      <c r="R9" s="128"/>
      <c r="S9" s="128"/>
      <c r="T9" s="128"/>
      <c r="U9" s="128"/>
      <c r="V9" s="128"/>
      <c r="W9" s="128"/>
    </row>
    <row r="10" spans="1:23" s="5" customFormat="1" x14ac:dyDescent="0.2">
      <c r="A10" s="6" t="s">
        <v>10</v>
      </c>
      <c r="B10" s="7">
        <v>0</v>
      </c>
      <c r="C10" s="7">
        <v>0</v>
      </c>
      <c r="D10" s="7">
        <v>0</v>
      </c>
      <c r="E10" s="7">
        <v>645726.99999999988</v>
      </c>
      <c r="F10" s="7">
        <v>0</v>
      </c>
      <c r="G10" s="7">
        <f t="shared" si="0"/>
        <v>645726.99999999988</v>
      </c>
      <c r="H10" s="7">
        <f t="shared" si="1"/>
        <v>-645726.99999999988</v>
      </c>
      <c r="I10" s="37" t="str">
        <f t="shared" si="2"/>
        <v>NA</v>
      </c>
      <c r="L10"/>
      <c r="M10" s="129"/>
      <c r="N10" s="129"/>
      <c r="O10" s="129"/>
      <c r="P10" s="129"/>
      <c r="Q10" s="129"/>
      <c r="R10" s="128"/>
      <c r="S10" s="128"/>
      <c r="T10" s="128"/>
      <c r="U10" s="128"/>
      <c r="V10" s="128"/>
      <c r="W10" s="128"/>
    </row>
    <row r="11" spans="1:23" s="5" customFormat="1" x14ac:dyDescent="0.2">
      <c r="A11" s="6" t="s">
        <v>74</v>
      </c>
      <c r="B11" s="7">
        <v>11794465</v>
      </c>
      <c r="C11" s="7">
        <v>16805190.230000004</v>
      </c>
      <c r="D11" s="7">
        <v>0</v>
      </c>
      <c r="E11" s="7">
        <v>24634799.569999985</v>
      </c>
      <c r="F11" s="7">
        <v>0</v>
      </c>
      <c r="G11" s="7">
        <f t="shared" si="0"/>
        <v>24634799.569999985</v>
      </c>
      <c r="H11" s="7">
        <f t="shared" si="1"/>
        <v>-7829609.3399999812</v>
      </c>
      <c r="I11" s="37">
        <f t="shared" si="2"/>
        <v>-0.46590423749103727</v>
      </c>
      <c r="L11"/>
      <c r="M11" s="129"/>
      <c r="N11" s="129"/>
      <c r="O11" s="129"/>
      <c r="P11" s="129"/>
      <c r="Q11" s="129"/>
      <c r="R11" s="128"/>
      <c r="S11" s="128"/>
      <c r="T11" s="128"/>
      <c r="U11" s="128"/>
      <c r="V11" s="128"/>
      <c r="W11" s="128"/>
    </row>
    <row r="12" spans="1:23" s="5" customFormat="1" x14ac:dyDescent="0.2">
      <c r="A12" s="8" t="s">
        <v>11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0</v>
      </c>
      <c r="I12" s="37" t="str">
        <f t="shared" si="2"/>
        <v>NA</v>
      </c>
      <c r="L12"/>
      <c r="M12" s="129"/>
      <c r="N12" s="129"/>
      <c r="O12" s="129"/>
      <c r="P12" s="129"/>
      <c r="Q12" s="129"/>
      <c r="R12" s="128"/>
      <c r="S12" s="128"/>
      <c r="T12" s="128"/>
      <c r="U12" s="128"/>
      <c r="V12" s="128"/>
      <c r="W12" s="128"/>
    </row>
    <row r="13" spans="1:23" s="5" customFormat="1" ht="24.95" customHeight="1" x14ac:dyDescent="0.25">
      <c r="A13" s="10" t="s">
        <v>12</v>
      </c>
      <c r="B13" s="11">
        <f>SUM(B8:B12)</f>
        <v>81368735.079999998</v>
      </c>
      <c r="C13" s="11">
        <f t="shared" ref="C13:H13" si="3">SUM(C8:C12)</f>
        <v>86379460.310000002</v>
      </c>
      <c r="D13" s="11">
        <f t="shared" si="3"/>
        <v>98580.12999999999</v>
      </c>
      <c r="E13" s="11">
        <f t="shared" si="3"/>
        <v>26497920.289999984</v>
      </c>
      <c r="F13" s="11">
        <f t="shared" si="3"/>
        <v>0</v>
      </c>
      <c r="G13" s="11">
        <f t="shared" si="3"/>
        <v>26497920.289999984</v>
      </c>
      <c r="H13" s="11">
        <f t="shared" si="3"/>
        <v>59881540.020000018</v>
      </c>
      <c r="I13" s="34">
        <f t="shared" si="2"/>
        <v>0.69323818191380426</v>
      </c>
      <c r="L13" s="1"/>
      <c r="M13" s="1"/>
      <c r="N13" s="1"/>
      <c r="O13" s="1"/>
      <c r="P13" s="1"/>
      <c r="Q13" s="1"/>
      <c r="R13" s="1"/>
      <c r="S13" s="128"/>
      <c r="T13" s="128"/>
      <c r="U13" s="128"/>
      <c r="V13" s="128"/>
      <c r="W13" s="128"/>
    </row>
    <row r="14" spans="1:23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37" t="str">
        <f t="shared" si="2"/>
        <v>NA</v>
      </c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</row>
    <row r="15" spans="1:23" s="5" customFormat="1" x14ac:dyDescent="0.2">
      <c r="A15" s="6" t="s">
        <v>20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37" t="str">
        <f t="shared" si="2"/>
        <v>NA</v>
      </c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</row>
    <row r="16" spans="1:23" s="5" customFormat="1" x14ac:dyDescent="0.25">
      <c r="A16" s="6" t="s">
        <v>29</v>
      </c>
      <c r="B16" s="7">
        <v>84549893.730000004</v>
      </c>
      <c r="C16" s="7">
        <v>89560618.960000008</v>
      </c>
      <c r="D16" s="7">
        <v>3750258.7500000028</v>
      </c>
      <c r="E16" s="7">
        <v>26126322.78999998</v>
      </c>
      <c r="F16" s="7">
        <v>16294186.670000002</v>
      </c>
      <c r="G16" s="7">
        <f t="shared" si="0"/>
        <v>42420509.459999979</v>
      </c>
      <c r="H16" s="7">
        <f t="shared" si="4"/>
        <v>47140109.50000003</v>
      </c>
      <c r="I16" s="37">
        <f t="shared" si="2"/>
        <v>0.52634863456062053</v>
      </c>
      <c r="L16" s="1"/>
      <c r="M16" s="1"/>
      <c r="N16" s="1"/>
      <c r="O16" s="1"/>
      <c r="P16" s="1"/>
      <c r="Q16" s="1"/>
      <c r="R16" s="1"/>
      <c r="S16" s="1"/>
      <c r="T16" s="1"/>
      <c r="W16" s="128"/>
    </row>
    <row r="17" spans="1:16384" s="5" customFormat="1" x14ac:dyDescent="0.25">
      <c r="A17" s="6" t="s">
        <v>25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37" t="str">
        <f t="shared" si="2"/>
        <v>NA</v>
      </c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16384" s="5" customFormat="1" ht="24.95" customHeight="1" x14ac:dyDescent="0.25">
      <c r="A18" s="10" t="s">
        <v>26</v>
      </c>
      <c r="B18" s="11">
        <f>SUM(B14:B17)</f>
        <v>84549893.730000004</v>
      </c>
      <c r="C18" s="11">
        <f t="shared" ref="C18:G18" si="5">SUM(C14:C17)</f>
        <v>89560618.960000008</v>
      </c>
      <c r="D18" s="11">
        <f t="shared" si="5"/>
        <v>3750258.7500000028</v>
      </c>
      <c r="E18" s="11">
        <f t="shared" si="5"/>
        <v>26126322.78999998</v>
      </c>
      <c r="F18" s="11">
        <f t="shared" si="5"/>
        <v>16294186.670000002</v>
      </c>
      <c r="G18" s="11">
        <f t="shared" si="5"/>
        <v>42420509.459999979</v>
      </c>
      <c r="H18" s="11">
        <f t="shared" ref="H18" si="6">SUM(H14:H17)</f>
        <v>47140109.50000003</v>
      </c>
      <c r="I18" s="34">
        <f t="shared" si="2"/>
        <v>0.52634863456062053</v>
      </c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16384" s="5" customFormat="1" x14ac:dyDescent="0.25">
      <c r="A19" s="12"/>
      <c r="B19" s="13"/>
      <c r="C19" s="13"/>
      <c r="D19" s="13"/>
      <c r="E19" s="13"/>
      <c r="F19" s="13"/>
      <c r="G19" s="13"/>
      <c r="H19" s="13"/>
      <c r="I19" s="15"/>
      <c r="L19" s="127"/>
      <c r="M19" s="1"/>
      <c r="N19" s="1"/>
      <c r="O19" s="1"/>
      <c r="P19" s="1"/>
      <c r="Q19" s="1"/>
      <c r="R19" s="1"/>
      <c r="S19" s="1"/>
      <c r="T19" s="1"/>
      <c r="U19" s="1"/>
    </row>
    <row r="20" spans="1:16384" s="5" customFormat="1" x14ac:dyDescent="0.25">
      <c r="A20" s="6" t="s">
        <v>27</v>
      </c>
      <c r="B20" s="7">
        <f>B13-B18</f>
        <v>-3181158.650000006</v>
      </c>
      <c r="C20" s="7">
        <f>C13-C18</f>
        <v>-3181158.650000006</v>
      </c>
      <c r="D20" s="7">
        <f>D13-D18</f>
        <v>-3651678.6200000029</v>
      </c>
      <c r="E20" s="7">
        <f>E13-E18</f>
        <v>371597.50000000373</v>
      </c>
      <c r="F20" s="7"/>
      <c r="G20" s="7">
        <f>G13-G18</f>
        <v>-15922589.169999994</v>
      </c>
      <c r="H20" s="7">
        <f>H13-H18</f>
        <v>12741430.519999988</v>
      </c>
      <c r="I20" s="16"/>
      <c r="L20" s="127"/>
      <c r="M20" s="1"/>
      <c r="N20" s="1"/>
      <c r="O20" s="1"/>
      <c r="P20" s="1"/>
      <c r="Q20" s="1"/>
      <c r="R20" s="1"/>
      <c r="S20" s="1"/>
      <c r="T20" s="1"/>
      <c r="U20" s="1"/>
    </row>
    <row r="21" spans="1:16384" s="5" customFormat="1" x14ac:dyDescent="0.25">
      <c r="A21" s="8"/>
      <c r="B21" s="9"/>
      <c r="C21" s="9"/>
      <c r="D21" s="9"/>
      <c r="E21" s="9"/>
      <c r="F21" s="9"/>
      <c r="G21" s="9"/>
      <c r="H21" s="9"/>
      <c r="I21" s="17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16384" s="5" customFormat="1" x14ac:dyDescent="0.25">
      <c r="A22" s="18" t="s">
        <v>67</v>
      </c>
      <c r="B22" s="20"/>
      <c r="C22" s="20"/>
      <c r="D22" s="20"/>
      <c r="E22" s="143">
        <v>28344820.670000002</v>
      </c>
      <c r="F22" s="20"/>
      <c r="G22" s="20">
        <f>E22</f>
        <v>28344820.670000002</v>
      </c>
      <c r="H22" s="20"/>
      <c r="I22" s="2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16384" s="5" customFormat="1" x14ac:dyDescent="0.25">
      <c r="A23" s="8" t="s">
        <v>28</v>
      </c>
      <c r="B23" s="9"/>
      <c r="C23" s="9"/>
      <c r="D23" s="9"/>
      <c r="E23" s="9">
        <f>SUM(E20:E22)</f>
        <v>28716418.170000006</v>
      </c>
      <c r="F23" s="9"/>
      <c r="G23" s="9">
        <f>SUM(G20:G22)</f>
        <v>12422231.500000007</v>
      </c>
      <c r="H23" s="9"/>
      <c r="I23" s="17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16384" s="5" customFormat="1" x14ac:dyDescent="0.25">
      <c r="A24" s="29"/>
      <c r="B24" s="31"/>
      <c r="C24" s="31"/>
      <c r="D24" s="31"/>
      <c r="E24" s="31"/>
      <c r="F24" s="31"/>
      <c r="G24" s="31"/>
      <c r="H24" s="3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16384" s="5" customFormat="1" x14ac:dyDescent="0.25">
      <c r="B25" s="28"/>
      <c r="C25" s="130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16384" s="5" customFormat="1" x14ac:dyDescent="0.25">
      <c r="A26" s="1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  <c r="XED26" s="1"/>
      <c r="XEE26" s="1"/>
      <c r="XEF26" s="1"/>
      <c r="XEG26" s="1"/>
      <c r="XEH26" s="1"/>
      <c r="XEI26" s="1"/>
      <c r="XEJ26" s="1"/>
      <c r="XEK26" s="1"/>
      <c r="XEL26" s="1"/>
      <c r="XEM26" s="1"/>
      <c r="XEN26" s="1"/>
      <c r="XEO26" s="1"/>
      <c r="XEP26" s="1"/>
      <c r="XEQ26" s="1"/>
      <c r="XER26" s="1"/>
      <c r="XES26" s="1"/>
      <c r="XET26" s="1"/>
      <c r="XEU26" s="1"/>
      <c r="XEV26" s="1"/>
      <c r="XEW26" s="1"/>
      <c r="XEX26" s="1"/>
      <c r="XEY26" s="1"/>
      <c r="XEZ26" s="1"/>
      <c r="XFA26" s="1"/>
      <c r="XFB26" s="1"/>
      <c r="XFC26" s="1"/>
      <c r="XFD26" s="1"/>
    </row>
    <row r="27" spans="1:16384" x14ac:dyDescent="0.25">
      <c r="B27" s="127"/>
      <c r="C27" s="127"/>
      <c r="D27" s="127"/>
      <c r="E27" s="127"/>
      <c r="F27" s="127"/>
      <c r="G27" s="127"/>
      <c r="H27" s="127"/>
      <c r="I27" s="127"/>
      <c r="J27" s="127"/>
      <c r="K27" s="127"/>
    </row>
    <row r="28" spans="1:16384" x14ac:dyDescent="0.25">
      <c r="B28" s="127"/>
      <c r="C28" s="127"/>
      <c r="D28" s="127"/>
      <c r="E28" s="127"/>
      <c r="F28" s="127"/>
      <c r="G28" s="127"/>
      <c r="H28" s="127"/>
      <c r="I28" s="127"/>
      <c r="J28" s="127"/>
      <c r="K28" s="127"/>
    </row>
    <row r="29" spans="1:16384" x14ac:dyDescent="0.25">
      <c r="B29" s="127"/>
      <c r="C29" s="127"/>
      <c r="D29" s="127"/>
      <c r="E29" s="127"/>
      <c r="F29" s="127"/>
      <c r="G29" s="127"/>
      <c r="H29" s="127"/>
    </row>
    <row r="30" spans="1:16384" x14ac:dyDescent="0.25">
      <c r="B30" s="127"/>
      <c r="C30" s="127"/>
      <c r="D30" s="127"/>
      <c r="E30" s="127"/>
      <c r="F30" s="127"/>
      <c r="G30" s="127"/>
      <c r="H30" s="127"/>
      <c r="J30" s="127"/>
    </row>
    <row r="31" spans="1:16384" x14ac:dyDescent="0.25">
      <c r="B31" s="127"/>
      <c r="C31" s="127"/>
      <c r="D31" s="127"/>
      <c r="E31" s="127"/>
      <c r="F31" s="127"/>
      <c r="G31" s="127"/>
      <c r="H31" s="127"/>
      <c r="I31" s="127"/>
      <c r="J31" s="127"/>
      <c r="K31" s="127"/>
    </row>
    <row r="32" spans="1:16384" x14ac:dyDescent="0.25">
      <c r="B32" s="127"/>
      <c r="C32" s="127"/>
      <c r="D32" s="127"/>
      <c r="E32" s="127"/>
      <c r="F32" s="127"/>
      <c r="G32" s="127"/>
      <c r="H32" s="127"/>
      <c r="I32" s="127"/>
      <c r="J32" s="127"/>
      <c r="K32" s="127"/>
    </row>
    <row r="33" spans="2:11" x14ac:dyDescent="0.25">
      <c r="B33" s="127"/>
      <c r="C33" s="127"/>
      <c r="D33" s="127"/>
      <c r="E33" s="127"/>
      <c r="F33" s="127"/>
      <c r="G33" s="127"/>
      <c r="H33" s="127"/>
      <c r="I33" s="127"/>
      <c r="J33" s="127"/>
      <c r="K33" s="127"/>
    </row>
    <row r="34" spans="2:11" x14ac:dyDescent="0.25">
      <c r="B34" s="127"/>
      <c r="C34" s="127"/>
      <c r="D34" s="127"/>
      <c r="E34" s="127"/>
      <c r="F34" s="127"/>
      <c r="G34" s="127"/>
      <c r="H34" s="127"/>
      <c r="I34" s="127"/>
      <c r="J34" s="127"/>
      <c r="K34" s="127"/>
    </row>
    <row r="35" spans="2:11" x14ac:dyDescent="0.25">
      <c r="E35" s="1"/>
      <c r="F35" s="1"/>
      <c r="G35" s="1"/>
      <c r="H35" s="1"/>
    </row>
    <row r="36" spans="2:11" x14ac:dyDescent="0.25">
      <c r="G36" s="1"/>
      <c r="H36" s="1"/>
    </row>
    <row r="37" spans="2:11" x14ac:dyDescent="0.25">
      <c r="H37" s="1"/>
    </row>
    <row r="38" spans="2:11" x14ac:dyDescent="0.25">
      <c r="H38" s="1"/>
    </row>
    <row r="39" spans="2:11" x14ac:dyDescent="0.25">
      <c r="H39" s="1"/>
    </row>
    <row r="40" spans="2:11" x14ac:dyDescent="0.25">
      <c r="H40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125589-3B97-4A8E-BFB5-F8CAEDF79A9D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fd92ff4e-e524-4e6b-bcac-5c88d6f646ba"/>
    <ds:schemaRef ds:uri="http://purl.org/dc/elements/1.1/"/>
    <ds:schemaRef ds:uri="http://schemas.microsoft.com/office/2006/metadata/properties"/>
    <ds:schemaRef ds:uri="edc4a2e3-56ec-4fd2-a9db-893721e9ab6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31FE70-6FE1-4FFF-A898-2B385D537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(2024)</vt:lpstr>
      <vt:lpstr>SPECIAL REVENUE</vt:lpstr>
      <vt:lpstr>DEBT SERVICE</vt:lpstr>
      <vt:lpstr>CAPITAL PROJECTS</vt:lpstr>
      <vt:lpstr>SCHOOL NUTRITION</vt:lpstr>
      <vt:lpstr>Budget vs Actual (2024)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FINANCE</cp:lastModifiedBy>
  <cp:lastPrinted>2025-01-08T19:24:12Z</cp:lastPrinted>
  <dcterms:created xsi:type="dcterms:W3CDTF">2020-01-29T12:55:36Z</dcterms:created>
  <dcterms:modified xsi:type="dcterms:W3CDTF">2025-01-08T19:42:13Z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